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70" windowWidth="14940" windowHeight="9150"/>
  </bookViews>
  <sheets>
    <sheet name="Arithmetic Logic Functions" sheetId="1" r:id="rId1"/>
  </sheets>
  <calcPr calcId="152511"/>
</workbook>
</file>

<file path=xl/calcChain.xml><?xml version="1.0" encoding="utf-8"?>
<calcChain xmlns="http://schemas.openxmlformats.org/spreadsheetml/2006/main">
  <c r="C430" i="1"/>
  <c r="B430"/>
  <c r="C429"/>
  <c r="B429"/>
  <c r="C428"/>
  <c r="B428"/>
  <c r="C427"/>
  <c r="B427"/>
  <c r="C426"/>
  <c r="B426"/>
  <c r="C425"/>
  <c r="B425"/>
  <c r="C424"/>
  <c r="B424"/>
  <c r="C423"/>
  <c r="B423"/>
  <c r="C422"/>
  <c r="B422"/>
  <c r="C421"/>
  <c r="B421"/>
  <c r="C420"/>
  <c r="B420"/>
  <c r="C419"/>
  <c r="B419"/>
  <c r="C418"/>
  <c r="B418"/>
  <c r="C417"/>
  <c r="B417"/>
  <c r="C416"/>
  <c r="B416"/>
  <c r="C415"/>
  <c r="B415"/>
  <c r="C414"/>
  <c r="B414"/>
  <c r="C413"/>
  <c r="B413"/>
  <c r="C412"/>
  <c r="B412"/>
  <c r="C411"/>
  <c r="B411"/>
  <c r="C410"/>
  <c r="B410"/>
  <c r="C409"/>
  <c r="B409"/>
  <c r="C408"/>
  <c r="B408"/>
  <c r="C407"/>
  <c r="B407"/>
  <c r="C406"/>
  <c r="B406"/>
  <c r="C405"/>
  <c r="B405"/>
  <c r="C404"/>
  <c r="B404"/>
  <c r="C403"/>
  <c r="B403"/>
  <c r="C402"/>
  <c r="B402"/>
  <c r="C401"/>
  <c r="B401"/>
  <c r="C400"/>
  <c r="B400"/>
  <c r="C399"/>
  <c r="B399"/>
  <c r="C398"/>
  <c r="B398"/>
  <c r="C397"/>
  <c r="B397"/>
  <c r="C396"/>
  <c r="B396"/>
  <c r="C395"/>
  <c r="B395"/>
  <c r="C394"/>
  <c r="B394"/>
  <c r="C393"/>
  <c r="B393"/>
  <c r="C392"/>
  <c r="B392"/>
  <c r="C391"/>
  <c r="B391"/>
  <c r="C390"/>
  <c r="B390"/>
  <c r="C389"/>
  <c r="B389"/>
  <c r="C388"/>
  <c r="B388"/>
  <c r="C387"/>
  <c r="B387"/>
  <c r="C386"/>
  <c r="B386"/>
  <c r="C385"/>
  <c r="B385"/>
  <c r="C384"/>
  <c r="B384"/>
  <c r="C383"/>
  <c r="B383"/>
  <c r="C382"/>
  <c r="B382"/>
  <c r="C381"/>
  <c r="B381"/>
  <c r="C380"/>
  <c r="B380"/>
  <c r="C379"/>
  <c r="B379"/>
  <c r="C378"/>
  <c r="B378"/>
  <c r="C377"/>
  <c r="B377"/>
  <c r="C376"/>
  <c r="B376"/>
  <c r="C375"/>
  <c r="B375"/>
  <c r="C374"/>
  <c r="B374"/>
  <c r="C373"/>
  <c r="B373"/>
  <c r="C372"/>
  <c r="B372"/>
  <c r="C371"/>
  <c r="B371"/>
  <c r="C370"/>
  <c r="B370"/>
  <c r="C369"/>
  <c r="B369"/>
  <c r="C368"/>
  <c r="B368"/>
  <c r="C367"/>
  <c r="B367"/>
  <c r="C366"/>
  <c r="B366"/>
  <c r="C365"/>
  <c r="B365"/>
  <c r="C364"/>
  <c r="B364"/>
  <c r="C363"/>
  <c r="B363"/>
  <c r="C362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C343"/>
  <c r="B343"/>
  <c r="C342"/>
  <c r="B342"/>
  <c r="C341"/>
  <c r="B341"/>
  <c r="C340"/>
  <c r="B340"/>
  <c r="C339"/>
  <c r="B339"/>
  <c r="C338"/>
  <c r="B338"/>
  <c r="C337"/>
  <c r="B337"/>
  <c r="C336"/>
  <c r="B336"/>
  <c r="C335"/>
  <c r="B335"/>
  <c r="C334"/>
  <c r="B334"/>
  <c r="C333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5"/>
  <c r="B305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B2"/>
  <c r="C2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</calcChain>
</file>

<file path=xl/comments1.xml><?xml version="1.0" encoding="utf-8"?>
<comments xmlns="http://schemas.openxmlformats.org/spreadsheetml/2006/main">
  <authors>
    <author/>
  </authors>
  <commentList>
    <comment ref="L2" authorId="0">
      <text>
        <r>
          <rPr>
            <sz val="10"/>
            <rFont val="Arial"/>
            <family val="2"/>
          </rPr>
          <t>T&lt;sub&gt;A&lt;/sub&gt; = 25 degrees C, C&lt;sub&gt;L&lt;/sub&gt; = 50 pF, V&lt;sub&gt;DD&lt;/sub&gt; = 10 Volts</t>
        </r>
      </text>
    </comment>
    <comment ref="N2" authorId="0">
      <text>
        <r>
          <rPr>
            <sz val="10"/>
            <rFont val="Arial"/>
            <family val="2"/>
          </rPr>
          <t>VDD = 10 Volts
V&lt;sub&gt;DD&lt;/sub&gt; = 10 Volts</t>
        </r>
      </text>
    </comment>
    <comment ref="L3" authorId="0">
      <text>
        <r>
          <rPr>
            <sz val="10"/>
            <rFont val="Arial"/>
            <family val="2"/>
          </rPr>
          <t>Sum in to Sum out, T&lt;sub&gt;A&lt;/sub&gt; = 25 degrees C, C&lt;sub&gt;L&lt;/sub&gt; = 50 pF, V&lt;sub&gt;DD&lt;/sub&gt; = 10 Volts</t>
        </r>
      </text>
    </comment>
    <comment ref="N3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4" authorId="0">
      <text>
        <r>
          <rPr>
            <sz val="10"/>
            <rFont val="Arial"/>
            <family val="2"/>
          </rPr>
          <t>Clock to Decode Output, T&lt;sub&gt;A&lt;/sub&gt; = 25 degrees C, C&lt;sub&gt;L&lt;/sub&gt; = 50 pF, V&lt;sub&gt;DD&lt;/sub&gt; = 10 Volts</t>
        </r>
      </text>
    </comment>
    <comment ref="N4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5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5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6" authorId="0">
      <text>
        <r>
          <rPr>
            <sz val="10"/>
            <rFont val="Arial"/>
            <family val="2"/>
          </rPr>
          <t>Clock to Q14, T&lt;sub&gt;A&lt;/sub&gt; = 25 degrees C, C&lt;sub&gt;L&lt;/sub&gt; = 50 pF, V&lt;sub&gt;DD&lt;/sub&gt; = 10 Volts</t>
        </r>
      </text>
    </comment>
    <comment ref="N6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7" authorId="0">
      <text>
        <r>
          <rPr>
            <sz val="10"/>
            <rFont val="Arial"/>
            <family val="2"/>
          </rPr>
          <t>Clock to Decode Output, T&lt;sub&gt;A&lt;/sub&gt; = 25 degrees C, C&lt;sub&gt;L&lt;/sub&gt; = 50 pF, V&lt;sub&gt;DD&lt;/sub&gt; = 10 Volts</t>
        </r>
      </text>
    </comment>
    <comment ref="N7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8" authorId="0">
      <text>
        <r>
          <rPr>
            <sz val="10"/>
            <rFont val="Arial"/>
            <family val="2"/>
          </rPr>
          <t>Clock to Q7, T&lt;sub&gt;A&lt;/sub&gt; = 25 degrees C, C&lt;sub&gt;L&lt;/sub&gt; = 50 pF, V&lt;sub&gt;DD&lt;/sub&gt; = 10 Volts</t>
        </r>
      </text>
    </comment>
    <comment ref="N8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9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9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0" authorId="0">
      <text>
        <r>
          <rPr>
            <sz val="10"/>
            <rFont val="Arial"/>
            <family val="2"/>
          </rPr>
          <t>Clock to Q12, T&lt;sub&gt;A&lt;/sub&gt; = 25 degrees C, C&lt;sub&gt;L&lt;/sub&gt; = 50 pF, V&lt;sub&gt;DD&lt;/sub&gt; = 10 Volts</t>
        </r>
      </text>
    </comment>
    <comment ref="N10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1" authorId="0">
      <text>
        <r>
          <rPr>
            <sz val="10"/>
            <rFont val="Arial"/>
            <family val="2"/>
          </rPr>
          <t>Clock to Q14, T&lt;sub&gt;A&lt;/sub&gt; = 25 degrees C, C&lt;sub&gt;L&lt;/sub&gt; = 50 pF, V&lt;sub&gt;DD&lt;/sub&gt; = 10 Volts</t>
        </r>
      </text>
    </comment>
    <comment ref="N11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2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V&lt;sub&gt;DD&lt;/sub&gt; = 10 Volts</t>
        </r>
      </text>
    </comment>
    <comment ref="N12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3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13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4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14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5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15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6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16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7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17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9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19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21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21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24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24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25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V&lt;sub&gt;DD&lt;/sub&gt; = 10 Volts</t>
        </r>
      </text>
    </comment>
    <comment ref="N25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26" authorId="0">
      <text>
        <r>
          <rPr>
            <sz val="10"/>
            <rFont val="Arial"/>
            <family val="2"/>
          </rPr>
          <t>Clock to Qn, T&lt;sub&gt;A&lt;/sub&gt; = 25 degrees C, C&lt;sub&gt;L&lt;/sub&gt; = 50 pF, V&lt;sub&gt;CC&lt;/sub&gt; = 5 Volts</t>
        </r>
      </text>
    </comment>
    <comment ref="N2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7" authorId="0">
      <text>
        <r>
          <rPr>
            <sz val="10"/>
            <rFont val="Arial"/>
            <family val="2"/>
          </rPr>
          <t>Clock to Qn, T&lt;sub&gt;A&lt;/sub&gt; = 25 degrees C, C&lt;sub&gt;L&lt;/sub&gt; = 50 pF, V&lt;sub&gt;CC&lt;/sub&gt; = 5 Volts</t>
        </r>
      </text>
    </comment>
    <comment ref="N2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8" authorId="0">
      <text>
        <r>
          <rPr>
            <sz val="10"/>
            <rFont val="Arial"/>
            <family val="2"/>
          </rPr>
          <t>Clock to Q1, T&lt;sub&gt;A&lt;/sub&gt; = 25 degrees C, C&lt;sub&gt;L&lt;/sub&gt; = 50 pF, V&lt;sub&gt;CC&lt;/sub&gt; = 5 Volts</t>
        </r>
      </text>
    </comment>
    <comment ref="N2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9" authorId="0">
      <text>
        <r>
          <rPr>
            <sz val="10"/>
            <rFont val="Arial"/>
            <family val="2"/>
          </rPr>
          <t>Clock to Qn, T&lt;sub&gt;A&lt;/sub&gt; = 25 degrees C, C&lt;sub&gt;L&lt;/sub&gt; = 50 pF, V&lt;sub&gt;CC&lt;/sub&gt; = 5 Volts</t>
        </r>
      </text>
    </comment>
    <comment ref="N2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0" authorId="0">
      <text>
        <r>
          <rPr>
            <sz val="10"/>
            <rFont val="Arial"/>
            <family val="2"/>
          </rPr>
          <t>Clock to Qn, T&lt;sub&gt;A&lt;/sub&gt; = 25 degrees C, C&lt;sub&gt;L&lt;/sub&gt; = 50 pF, V&lt;sub&gt;CC&lt;/sub&gt; = 5 Volts</t>
        </r>
      </text>
    </comment>
    <comment ref="N3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1" authorId="0">
      <text>
        <r>
          <rPr>
            <sz val="10"/>
            <rFont val="Arial"/>
            <family val="2"/>
          </rPr>
          <t>V&lt;sub&gt;cc&lt;/sub&gt; = 4.5V</t>
        </r>
      </text>
    </comment>
    <comment ref="L32" authorId="0">
      <text>
        <r>
          <rPr>
            <sz val="10"/>
            <rFont val="Arial"/>
            <family val="2"/>
          </rPr>
          <t>TA = 25 degrees C, Clock to Q, CL = 50 pF, Input tr = tf = 6.0 ns, Vcc = 6.0 Volts</t>
        </r>
      </text>
    </comment>
    <comment ref="N32" authorId="0">
      <text>
        <r>
          <rPr>
            <sz val="10"/>
            <rFont val="Arial"/>
            <family val="2"/>
          </rPr>
          <t>VCC = 6 Volts</t>
        </r>
      </text>
    </comment>
    <comment ref="L33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33" authorId="0">
      <text>
        <r>
          <rPr>
            <sz val="10"/>
            <rFont val="Arial"/>
            <family val="2"/>
          </rPr>
          <t>V&lt;sub&gt;CC&lt;/sub&gt; = 6 Volts</t>
        </r>
      </text>
    </comment>
    <comment ref="L34" authorId="0">
      <text>
        <r>
          <rPr>
            <sz val="10"/>
            <rFont val="Arial"/>
            <family val="2"/>
          </rPr>
          <t>Clock to QC, T&lt;sub&gt;A&lt;/sub&gt; = 25 degrees C, C&lt;sub&gt;L&lt;/sub&gt; = 50 pF, V&lt;sub&gt;CC&lt;/sub&gt; = 4.5 Volts</t>
        </r>
      </text>
    </comment>
    <comment ref="N34" authorId="0">
      <text>
        <r>
          <rPr>
            <sz val="10"/>
            <rFont val="Arial"/>
            <family val="2"/>
          </rPr>
          <t>V&lt;sub&gt;CC&lt;/sub&gt; = 6 Volts</t>
        </r>
      </text>
    </comment>
    <comment ref="L35" authorId="0">
      <text>
        <r>
          <rPr>
            <sz val="10"/>
            <rFont val="Arial"/>
            <family val="2"/>
          </rPr>
          <t>Clock to Q4, T&lt;sub&gt;A&lt;/sub&gt; = 25 degrees C, C&lt;sub&gt;L&lt;/sub&gt; = 50 pF, V&lt;sub&gt;CC&lt;/sub&gt; = 4.5 Volts</t>
        </r>
      </text>
    </comment>
    <comment ref="N35" authorId="0">
      <text>
        <r>
          <rPr>
            <sz val="10"/>
            <rFont val="Arial"/>
            <family val="2"/>
          </rPr>
          <t>V&lt;sub&gt;CC&lt;/sub&gt; = 6 Volts</t>
        </r>
      </text>
    </comment>
    <comment ref="L36" authorId="0">
      <text>
        <r>
          <rPr>
            <sz val="10"/>
            <rFont val="Arial"/>
            <family val="2"/>
          </rPr>
          <t>Clock to Q1, T&lt;sub&gt;A&lt;/sub&gt; = 25 degrees C, C&lt;sub&gt;L&lt;/sub&gt; = 50 pF, V&lt;sub&gt;CC&lt;/sub&gt; = 4.5 Volts</t>
        </r>
      </text>
    </comment>
    <comment ref="N36" authorId="0">
      <text>
        <r>
          <rPr>
            <sz val="10"/>
            <rFont val="Arial"/>
            <family val="2"/>
          </rPr>
          <t>V&lt;sub&gt;CC&lt;/sub&gt; = 6 Volts</t>
        </r>
      </text>
    </comment>
    <comment ref="L37" authorId="0">
      <text>
        <r>
          <rPr>
            <sz val="10"/>
            <rFont val="Arial"/>
            <family val="2"/>
          </rPr>
          <t>Clock to Q1, T&lt;sub&gt;A&lt;/sub&gt; = 25 degrees C, C&lt;sub&gt;L&lt;/sub&gt; = 50 pF, V&lt;sub&gt;CC&lt;/sub&gt; = 4.5 Volts</t>
        </r>
      </text>
    </comment>
    <comment ref="N37" authorId="0">
      <text>
        <r>
          <rPr>
            <sz val="10"/>
            <rFont val="Arial"/>
            <family val="2"/>
          </rPr>
          <t>V&lt;sub&gt;CC&lt;/sub&gt; = 6 Volts</t>
        </r>
      </text>
    </comment>
    <comment ref="L38" authorId="0">
      <text>
        <r>
          <rPr>
            <sz val="10"/>
            <rFont val="Arial"/>
            <family val="2"/>
          </rPr>
          <t>Osc In to Q4, T&lt;sub&gt;A&lt;/sub&gt; = 25 degrees C, C&lt;sub&gt;L&lt;/sub&gt; = 50 pF, V&lt;sub&gt;CC&lt;/sub&gt; = 4.5 Volts</t>
        </r>
      </text>
    </comment>
    <comment ref="N38" authorId="0">
      <text>
        <r>
          <rPr>
            <sz val="10"/>
            <rFont val="Arial"/>
            <family val="2"/>
          </rPr>
          <t>V&lt;sub&gt;CC&lt;/sub&gt; = 6 Volts</t>
        </r>
      </text>
    </comment>
    <comment ref="L41" authorId="0">
      <text>
        <r>
          <rPr>
            <sz val="10"/>
            <rFont val="Arial"/>
            <family val="2"/>
          </rPr>
          <t>TA = 25 degrees C, CL = 50 pF, VCC = 5 Volts</t>
        </r>
      </text>
    </comment>
    <comment ref="N4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2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4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3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4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4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4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5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4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6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4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7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4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8" authorId="0">
      <text>
        <r>
          <rPr>
            <sz val="10"/>
            <rFont val="Arial"/>
            <family val="2"/>
          </rPr>
          <t>Typical @ V&lt;sub&gt;CC&lt;/sub&gt; = 2.7V ≤ V&lt;sub&gt;CC&lt;/sub&gt; ≤ 3.6V; T&lt;sub&gt;A&lt;/sub&gt; = 25°C; C&lt;sub&gt;L&lt;/sub&gt; = 30&lt;sub&gt;pF&lt;/sub&gt;</t>
        </r>
      </text>
    </comment>
    <comment ref="N48" authorId="0">
      <text>
        <r>
          <rPr>
            <sz val="10"/>
            <rFont val="Arial"/>
            <family val="2"/>
          </rPr>
          <t>V&lt;sub&gt;CC&lt;/sub&gt; = 3.3 Volts</t>
        </r>
      </text>
    </comment>
    <comment ref="L49" authorId="0">
      <text>
        <r>
          <rPr>
            <sz val="10"/>
            <rFont val="Arial"/>
            <family val="2"/>
          </rPr>
          <t>VCC = 5 Volts</t>
        </r>
      </text>
    </comment>
    <comment ref="N49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N5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52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N5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53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 &lt;sub&gt;pF&lt;/sub&gt;</t>
        </r>
      </text>
    </comment>
    <comment ref="L54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50&lt;sub&gt;pF&lt;/sub&gt;</t>
        </r>
      </text>
    </comment>
    <comment ref="L55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50&lt;sub&gt;pF&lt;/sub&gt;</t>
        </r>
      </text>
    </comment>
    <comment ref="L56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50&lt;sub&gt;pF&lt;/sub&gt;</t>
        </r>
      </text>
    </comment>
    <comment ref="L57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50&lt;sub&gt;pF&lt;/sub&gt;</t>
        </r>
      </text>
    </comment>
    <comment ref="L58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50&lt;sub&gt;pF&lt;/sub&gt;</t>
        </r>
      </text>
    </comment>
    <comment ref="L59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60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50&lt;sub&gt;pF&lt;/sub&gt;</t>
        </r>
      </text>
    </comment>
    <comment ref="L61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50&lt;sub&gt;pF&lt;/sub&gt;</t>
        </r>
      </text>
    </comment>
    <comment ref="L62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50&lt;sub&gt;pF&lt;/sub&gt;</t>
        </r>
      </text>
    </comment>
    <comment ref="L63" authorId="0">
      <text>
        <r>
          <rPr>
            <sz val="10"/>
            <rFont val="Arial"/>
            <family val="2"/>
          </rPr>
          <t>Typical @ V&lt;sub&gt;CC&lt;/sub&gt; = 5.0 V; T&lt;sub&gt;A&lt;/sub&gt; 25°C; C&lt;sub&gt;L&lt;/sub&gt; = 50&lt;sub&gt;pF&lt;/sub&gt;</t>
        </r>
      </text>
    </comment>
    <comment ref="L64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to 3.6 Volts</t>
        </r>
      </text>
    </comment>
    <comment ref="N6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65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to 3.6 Volts</t>
        </r>
      </text>
    </comment>
    <comment ref="N6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66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67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68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69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0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1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2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3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4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5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6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7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8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79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0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1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2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3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4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5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6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7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8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89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90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91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92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93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N93" authorId="0">
      <text>
        <r>
          <rPr>
            <sz val="10"/>
            <rFont val="Arial"/>
            <family val="2"/>
          </rPr>
          <t>Output High State = 64mA; Output Low State = 128mA</t>
        </r>
      </text>
    </comment>
    <comment ref="L94" authorId="0">
      <text>
        <r>
          <rPr>
            <sz val="10"/>
            <rFont val="Arial"/>
            <family val="2"/>
          </rPr>
          <t>V&lt;sub&gt;CC&lt;/sub&gt; = 3.3V ± 0.3V; C&lt;sub&gt;L&lt;/sub&gt; = 50&lt;sub&gt;pF&lt;/sub&gt;; R&lt;sub&gt;L&lt;/sub&gt; = 500Ω; T&lt;sub&gt;A&lt;/sub&gt; = -40°C to 85°C</t>
        </r>
      </text>
    </comment>
    <comment ref="L95" authorId="0">
      <text>
        <r>
          <rPr>
            <sz val="10"/>
            <rFont val="Arial"/>
            <family val="2"/>
          </rPr>
          <t>Typical @ V&lt;sub&gt;CC&lt;/sub&gt; = 3.3V ± 0.3V; C&lt;sub&gt;L&lt;/sub&gt; = 50&lt;sub&gt;pF&lt;/sub&gt;: T&lt;sub&gt;A&lt;/sub&gt; = 25°C</t>
        </r>
      </text>
    </comment>
    <comment ref="L96" authorId="0">
      <text>
        <r>
          <rPr>
            <sz val="10"/>
            <rFont val="Arial"/>
            <family val="2"/>
          </rPr>
          <t>Typical @ 3.3V ± 0.3; T&lt;sub&gt;A&lt;/sub&gt; = 25°C; C&lt;sub&gt;L&lt;/sub&gt; = 50&lt;sub&gt;pF&lt;/sub&gt;</t>
        </r>
      </text>
    </comment>
    <comment ref="L97" authorId="0">
      <text>
        <r>
          <rPr>
            <sz val="10"/>
            <rFont val="Arial"/>
            <family val="2"/>
          </rPr>
          <t>Typical @ 3.3V ± 0.3; T&lt;sub&gt;A&lt;/sub&gt; = 25°C; C&lt;sub&gt;L&lt;/sub&gt; = 50&lt;sub&gt;pF&lt;/sub&gt;</t>
        </r>
      </text>
    </comment>
    <comment ref="L98" authorId="0">
      <text>
        <r>
          <rPr>
            <sz val="10"/>
            <rFont val="Arial"/>
            <family val="2"/>
          </rPr>
          <t>Typical @ 3.3V ± 0.3; T&lt;sub&gt;A&lt;/sub&gt; = 25°C; C&lt;sub&gt;L&lt;/sub&gt; = 50&lt;sub&gt;pF&lt;/sub&gt;</t>
        </r>
      </text>
    </comment>
    <comment ref="L99" authorId="0">
      <text>
        <r>
          <rPr>
            <sz val="10"/>
            <rFont val="Arial"/>
            <family val="2"/>
          </rPr>
          <t>Typical @ 3.3V ± 0.3; T&lt;sub&gt;A&lt;/sub&gt; = 25°C; C&lt;sub&gt;L&lt;/sub&gt; = 50&lt;sub&gt;pF&lt;/sub&gt;</t>
        </r>
      </text>
    </comment>
    <comment ref="L100" authorId="0">
      <text>
        <r>
          <rPr>
            <sz val="10"/>
            <rFont val="Arial"/>
            <family val="2"/>
          </rPr>
          <t>VCC = 3.3V ± 0.3; CL = 50pF; TA = -40°C to 85°C</t>
        </r>
      </text>
    </comment>
    <comment ref="L101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10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02" authorId="0">
      <text>
        <r>
          <rPr>
            <sz val="10"/>
            <rFont val="Arial"/>
            <family val="2"/>
          </rPr>
          <t>Typical @ V&lt;sub&gt;CC&lt;/sub&gt; = 5V; T&lt;sub&gt;A&lt;/sub&gt; = 25°C; CL = 15&lt;sub&gt;pF&lt;/sub&gt;</t>
        </r>
      </text>
    </comment>
    <comment ref="L103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15&lt;sub&gt;pF&lt;/sub&gt;</t>
        </r>
      </text>
    </comment>
    <comment ref="L104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15&lt;sub&gt;pF&lt;/sub&gt;</t>
        </r>
      </text>
    </comment>
    <comment ref="L105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15&lt;sub&gt;pF&lt;/sub&gt;</t>
        </r>
      </text>
    </comment>
    <comment ref="L106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15&lt;sub&gt;pF&lt;/sub&gt;</t>
        </r>
      </text>
    </comment>
    <comment ref="L107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15&lt;sub&gt;pF&lt;/sub&gt;</t>
        </r>
      </text>
    </comment>
    <comment ref="L108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50&lt;sub&gt;pF&lt;/sub&gt;</t>
        </r>
      </text>
    </comment>
    <comment ref="L109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50&lt;sub&gt;pF&lt;/sub&gt;</t>
        </r>
      </text>
    </comment>
    <comment ref="L110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15&lt;sub&gt;pF&lt;/sub&gt;</t>
        </r>
      </text>
    </comment>
    <comment ref="L111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50&lt;sub&gt;pF&lt;/sub&gt;</t>
        </r>
      </text>
    </comment>
    <comment ref="L112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50&lt;sub&gt;pF&lt;/sub&gt;</t>
        </r>
      </text>
    </comment>
    <comment ref="L113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50&lt;sub&gt;pF&lt;/sub&gt;</t>
        </r>
      </text>
    </comment>
    <comment ref="L114" authorId="0">
      <text>
        <r>
          <rPr>
            <sz val="10"/>
            <rFont val="Arial"/>
            <family val="2"/>
          </rPr>
          <t>Typical @ V&lt;sub&gt;CC&lt;/sub&gt; = 5V; T&lt;sub&gt;A&lt;/sub&gt; = 25°C; C&lt;sub&gt;L&lt;/sub&gt; = 50&lt;sub&gt;pF&lt;/sub&gt;</t>
        </r>
      </text>
    </comment>
    <comment ref="L115" authorId="0">
      <text>
        <r>
          <rPr>
            <sz val="10"/>
            <rFont val="Arial"/>
            <family val="2"/>
          </rPr>
          <t>T&lt;sub&gt;A&lt;/sub&gt; = 25 degrees C, C&lt;sub&gt;L&lt;/sub&gt; = 50 pF, V&lt;sub&gt;DD&lt;/sub&gt; = 10 Volts</t>
        </r>
      </text>
    </comment>
    <comment ref="N115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16" authorId="0">
      <text>
        <r>
          <rPr>
            <sz val="10"/>
            <rFont val="Arial"/>
            <family val="2"/>
          </rPr>
          <t>T&lt;sub&gt;A&lt;/sub&gt; = 25 degrees C, C&lt;sub&gt;L&lt;/sub&gt; = 50 pF, V&lt;sub&gt;DD&lt;/sub&gt; = 10 Volts</t>
        </r>
      </text>
    </comment>
    <comment ref="N116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17" authorId="0">
      <text>
        <r>
          <rPr>
            <sz val="10"/>
            <rFont val="Arial"/>
            <family val="2"/>
          </rPr>
          <t>T&lt;sub&gt;A&lt;/sub&gt; = 25 degrees C, C&lt;sub&gt;L&lt;/sub&gt; = 50 pF, V&lt;sub&gt;DD&lt;/sub&gt; = 10 Volts</t>
        </r>
      </text>
    </comment>
    <comment ref="N117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18" authorId="0">
      <text>
        <r>
          <rPr>
            <sz val="10"/>
            <rFont val="Arial"/>
            <family val="2"/>
          </rPr>
          <t>Output to High Impedance, T&lt;sub&gt;A&lt;/sub&gt; = 25 degrees C, C&lt;sub&gt;L&lt;/sub&gt; = 50 pF, V&lt;sub&gt;DD&lt;/sub&gt; = 10 Volts</t>
        </r>
      </text>
    </comment>
    <comment ref="N118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19" authorId="0">
      <text>
        <r>
          <rPr>
            <sz val="10"/>
            <rFont val="Arial"/>
            <family val="2"/>
          </rPr>
          <t>T&lt;sub&gt;A&lt;/sub&gt; = 25 degrees C, C&lt;sub&gt;L&lt;/sub&gt; = 50 pF, V&lt;sub&gt;DD&lt;/sub&gt; = 10 Volts</t>
        </r>
      </text>
    </comment>
    <comment ref="N119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120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5 Volts</t>
        </r>
      </text>
    </comment>
    <comment ref="N12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21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2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22" authorId="0">
      <text>
        <r>
          <rPr>
            <sz val="10"/>
            <rFont val="Arial"/>
            <family val="2"/>
          </rPr>
          <t>T&lt;sub&gt;A&lt;/sub&gt; = 25 C, C&lt;sub&gt;L&lt;/sub&gt; = 50 pF, V&lt;sub&gt;CC&lt;/sub&gt; = 5 Volts</t>
        </r>
      </text>
    </comment>
    <comment ref="N12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23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2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24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2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25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2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26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2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27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5 Volts</t>
        </r>
      </text>
    </comment>
    <comment ref="N12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28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2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29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130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3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31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3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32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3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33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3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34" authorId="0">
      <text>
        <r>
          <rPr>
            <sz val="10"/>
            <rFont val="Arial"/>
            <family val="2"/>
          </rPr>
          <t>Data to Output, T&lt;sub&gt;A&lt;/sub&gt; = 25 degrees C, C&lt;sub&gt;L&lt;/sub&gt; = 50 pF, V&lt;sub&gt;CC&lt;/sub&gt; = 5 Volts</t>
        </r>
      </text>
    </comment>
    <comment ref="N13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35" authorId="0">
      <text>
        <r>
          <rPr>
            <sz val="10"/>
            <rFont val="Arial"/>
            <family val="2"/>
          </rPr>
          <t>Vcc = 6.0 V</t>
        </r>
      </text>
    </comment>
    <comment ref="N135" authorId="0">
      <text>
        <r>
          <rPr>
            <sz val="10"/>
            <rFont val="Arial"/>
            <family val="2"/>
          </rPr>
          <t>Vcc = 6.0 V</t>
        </r>
      </text>
    </comment>
    <comment ref="L136" authorId="0">
      <text>
        <r>
          <rPr>
            <sz val="10"/>
            <rFont val="Arial"/>
            <family val="2"/>
          </rPr>
          <t>TA = 25 degrees C, CL = 50 pF, VCC = 6 Volts</t>
        </r>
      </text>
    </comment>
    <comment ref="N136" authorId="0">
      <text>
        <r>
          <rPr>
            <sz val="10"/>
            <rFont val="Arial"/>
            <family val="2"/>
          </rPr>
          <t>VCC = 6 Volts</t>
        </r>
      </text>
    </comment>
    <comment ref="L137" authorId="0">
      <text>
        <r>
          <rPr>
            <sz val="10"/>
            <rFont val="Arial"/>
            <family val="2"/>
          </rPr>
          <t>Output Enable to Y, T&lt;sub&gt;A&lt;/sub&gt; = 25 degrees C, C&lt;sub&gt;L&lt;/sub&gt; = 50 pF, V&lt;sub&gt;CC&lt;/sub&gt; = 4.5 Volts</t>
        </r>
      </text>
    </comment>
    <comment ref="N13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38" authorId="0">
      <text>
        <r>
          <rPr>
            <sz val="10"/>
            <rFont val="Arial"/>
            <family val="2"/>
          </rPr>
          <t>Output Enable to Y, T&lt;sub&gt;A&lt;/sub&gt; = 25 degrees C, C&lt;sub&gt;L&lt;/sub&gt; = 50 pF, V&lt;sub&gt;CC&lt;/sub&gt; = 4.5 Volts</t>
        </r>
      </text>
    </comment>
    <comment ref="N13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39" authorId="0">
      <text>
        <r>
          <rPr>
            <sz val="10"/>
            <rFont val="Arial"/>
            <family val="2"/>
          </rPr>
          <t>Vcc = 6.0 V</t>
        </r>
      </text>
    </comment>
    <comment ref="N139" authorId="0">
      <text>
        <r>
          <rPr>
            <sz val="10"/>
            <rFont val="Arial"/>
            <family val="2"/>
          </rPr>
          <t>Vcc = 6.0 V</t>
        </r>
      </text>
    </comment>
    <comment ref="L140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4.5 Volts</t>
        </r>
      </text>
    </comment>
    <comment ref="N14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41" authorId="0">
      <text>
        <r>
          <rPr>
            <sz val="10"/>
            <rFont val="Arial"/>
            <family val="2"/>
          </rPr>
          <t>Output Enable to Y, T&lt;sub&gt;A&lt;/sub&gt; = 25 degrees C, C&lt;sub&gt;L&lt;/sub&gt; = 50 pF, V&lt;sub&gt;CC&lt;/sub&gt; = 4.5 Volts</t>
        </r>
      </text>
    </comment>
    <comment ref="N14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42" authorId="0">
      <text>
        <r>
          <rPr>
            <sz val="10"/>
            <rFont val="Arial"/>
            <family val="2"/>
          </rPr>
          <t>Output Enable to Y, T&lt;sub&gt;A&lt;/sub&gt; = 25 degrees C, C&lt;sub&gt;L&lt;/sub&gt; = 50 pF, V&lt;sub&gt;CC&lt;/sub&gt; = 4.5 Volts</t>
        </r>
      </text>
    </comment>
    <comment ref="N14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43" authorId="0">
      <text>
        <r>
          <rPr>
            <sz val="10"/>
            <rFont val="Arial"/>
            <family val="2"/>
          </rPr>
          <t>TA = 25 degrees C, CL = 50 pF, Input tr = tf = 6 ns, Vcc=6.0 Volts, Maximum Propagation Delay, Input A to Output Y</t>
        </r>
      </text>
    </comment>
    <comment ref="N143" authorId="0">
      <text>
        <r>
          <rPr>
            <sz val="10"/>
            <rFont val="Arial"/>
            <family val="2"/>
          </rPr>
          <t>VCC = 6 Volts</t>
        </r>
      </text>
    </comment>
    <comment ref="L144" authorId="0">
      <text>
        <r>
          <rPr>
            <sz val="10"/>
            <rFont val="Arial"/>
            <family val="2"/>
          </rPr>
          <t>4.5V @ 25 C</t>
        </r>
      </text>
    </comment>
    <comment ref="L145" authorId="0">
      <text>
        <r>
          <rPr>
            <sz val="10"/>
            <rFont val="Arial"/>
            <family val="2"/>
          </rPr>
          <t>Output Enable to Y, T&lt;sub&gt;A&lt;/sub&gt; = 25 degrees C, C&lt;sub&gt;L&lt;/sub&gt; = 50 pF, V&lt;sub&gt;CC&lt;/sub&gt; = 4.5 Volts</t>
        </r>
      </text>
    </comment>
    <comment ref="N14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46" authorId="0">
      <text>
        <r>
          <rPr>
            <sz val="10"/>
            <rFont val="Arial"/>
            <family val="2"/>
          </rPr>
          <t>Output Enable to Y, T&lt;sub&gt;A&lt;/sub&gt; = 25 degrees C, C&lt;sub&gt;L&lt;/sub&gt; = 50 pF, V&lt;sub&gt;CC&lt;/sub&gt; = 4.5 Volts</t>
        </r>
      </text>
    </comment>
    <comment ref="N14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47" authorId="0">
      <text>
        <r>
          <rPr>
            <sz val="10"/>
            <rFont val="Arial"/>
            <family val="2"/>
          </rPr>
          <t>Input A to Output Y, TA = 25 degrees C, CL = 50 pF, VCC = 5 Volts</t>
        </r>
      </text>
    </comment>
    <comment ref="N14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48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5 Volts</t>
        </r>
      </text>
    </comment>
    <comment ref="N14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49" authorId="0">
      <text>
        <r>
          <rPr>
            <sz val="10"/>
            <rFont val="Arial"/>
            <family val="2"/>
          </rPr>
          <t>TA = 25 degrees C, CL = 50 pF, VCC = 5.0 Volts</t>
        </r>
      </text>
    </comment>
    <comment ref="L150" authorId="0">
      <text>
        <r>
          <rPr>
            <sz val="10"/>
            <rFont val="Arial"/>
            <family val="2"/>
          </rPr>
          <t>Output Enable to Y, T&lt;sub&gt;A&lt;/sub&gt; = 25 degrees C, C&lt;sub&gt;L&lt;/sub&gt; = 50 pF, V&lt;sub&gt;CC&lt;/sub&gt; = 5 Volts</t>
        </r>
      </text>
    </comment>
    <comment ref="N15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52" authorId="0">
      <text>
        <r>
          <rPr>
            <sz val="10"/>
            <rFont val="Arial"/>
            <family val="2"/>
          </rPr>
          <t>Input A to Output Y; C&lt;sub&gt;L&lt;/sub&gt; = 50 pF; 25°c; V&lt;sub&gt;CC&lt;/sub&gt; = 4.5 V</t>
        </r>
      </text>
    </comment>
    <comment ref="N15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53" authorId="0">
      <text>
        <r>
          <rPr>
            <sz val="10"/>
            <rFont val="Arial"/>
            <family val="2"/>
          </rPr>
          <t>Output Enable to Y, T&lt;sub&gt;A&lt;/sub&gt; = 25 degrees C, C&lt;sub&gt;L&lt;/sub&gt; = 50 pF, V&lt;sub&gt;CC&lt;/sub&gt; = 5 Volts</t>
        </r>
      </text>
    </comment>
    <comment ref="N15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54" authorId="0">
      <text>
        <r>
          <rPr>
            <sz val="10"/>
            <rFont val="Arial"/>
            <family val="2"/>
          </rPr>
          <t>V&lt;sub&gt;CC&lt;/sub&gt; = 3.3 V ± 0.3 V; C&lt;sub&gt;L&lt;/sub&gt; = 50 pF; TA = −55°C to +125°C</t>
        </r>
      </text>
    </comment>
    <comment ref="N15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55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3.0 to 3.6 Volts</t>
        </r>
      </text>
    </comment>
    <comment ref="N15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56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56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57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5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58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5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59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59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0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60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1" authorId="0">
      <text>
        <r>
          <rPr>
            <sz val="10"/>
            <rFont val="Arial"/>
            <family val="2"/>
          </rPr>
          <t>Input to Output, TA = 25 degrees C, CL = 50 pF, VCC = 3.3 Volts</t>
        </r>
      </text>
    </comment>
    <comment ref="N16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2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62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3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63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4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6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5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6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6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3.3 Volts</t>
        </r>
      </text>
    </comment>
    <comment ref="N166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7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3.3 Volts</t>
        </r>
      </text>
    </comment>
    <comment ref="N16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8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3.3 Volts</t>
        </r>
      </text>
    </comment>
    <comment ref="N16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169" authorId="0">
      <text>
        <r>
          <rPr>
            <sz val="10"/>
            <rFont val="Arial"/>
            <family val="2"/>
          </rPr>
          <t>3.3 V; C&lt;sub&gt;L&lt;/sub&gt;=50 pF</t>
        </r>
      </text>
    </comment>
    <comment ref="N16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0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7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1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7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2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5 Volts</t>
        </r>
      </text>
    </comment>
    <comment ref="N17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3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7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4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7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5" authorId="0">
      <text>
        <r>
          <rPr>
            <sz val="10"/>
            <rFont val="Arial"/>
            <family val="2"/>
          </rPr>
          <t>A to Y, TA = 25 degrees C, CL = 50 pF, VCC = 5 Volts</t>
        </r>
      </text>
    </comment>
    <comment ref="N17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6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7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7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7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8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7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79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7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80" authorId="0">
      <text>
        <r>
          <rPr>
            <sz val="10"/>
            <rFont val="Arial"/>
            <family val="2"/>
          </rPr>
          <t>A to Y, TA = 25 degrees C, CL = 50 pF, VCC = 5 Volts</t>
        </r>
      </text>
    </comment>
    <comment ref="N18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81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8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82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8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N18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84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8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85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18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186" authorId="0">
      <text>
        <r>
          <rPr>
            <sz val="10"/>
            <rFont val="Arial"/>
            <family val="2"/>
          </rPr>
          <t>Typical @ V&lt;sub&gt;CC&lt;/sub&gt; = 6.0V; T&lt;sub&gt;A&lt;/sub&gt; = 25°C; C&lt;sub&gt;L&lt;/sub&gt; = 50&lt;sub&gt;pF&lt;/sub&gt;</t>
        </r>
      </text>
    </comment>
    <comment ref="L187" authorId="0">
      <text>
        <r>
          <rPr>
            <sz val="10"/>
            <rFont val="Arial"/>
            <family val="2"/>
          </rPr>
          <t>Typical @ V&lt;sub&gt;CC&lt;/sub&gt; = 5.0V; T&lt;sub&gt;A&lt;/sub&gt; 25°C; C&lt;sub&gt;L&lt;/sub&gt; = 45&lt;sub&gt;pF&lt;/sub&gt;</t>
        </r>
      </text>
    </comment>
    <comment ref="L188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45&lt;sub&gt;pF&lt;/sub&gt;</t>
        </r>
      </text>
    </comment>
    <comment ref="L189" authorId="0">
      <text>
        <r>
          <rPr>
            <sz val="10"/>
            <rFont val="Arial"/>
            <family val="2"/>
          </rPr>
          <t>Typical @ V&lt;sub&gt;CC&lt;/sub&gt; = 6.0V; T&lt;sub&gt;A&lt;/sub&gt; = 25°C; C&lt;sub&gt;L&lt;/sub&gt; = 50&lt;sub&gt;pF&lt;/sub&gt;</t>
        </r>
      </text>
    </comment>
    <comment ref="L190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45&lt;sub&gt;pF&lt;/sub&gt;</t>
        </r>
      </text>
    </comment>
    <comment ref="L191" authorId="0">
      <text>
        <r>
          <rPr>
            <sz val="10"/>
            <rFont val="Arial"/>
            <family val="2"/>
          </rPr>
          <t>Typical @ V&lt;sub&gt;CC&lt;/sub&gt; = 6.0V; T&lt;sub&gt;A&lt;/sub&gt; = 25°C; C&lt;sub&gt;L&lt;/sub&gt; = 50&lt;sub&gt;pF&lt;/sub&gt;</t>
        </r>
      </text>
    </comment>
    <comment ref="L192" authorId="0">
      <text>
        <r>
          <rPr>
            <sz val="10"/>
            <rFont val="Arial"/>
            <family val="2"/>
          </rPr>
          <t>Typical @ V&lt;sub&gt;CC&lt;/sub&gt; = 6.0V; T&lt;sub&gt;A&lt;/sub&gt; = 25°C; C&lt;sub&gt;L&lt;/sub&gt; = 50&lt;sub&gt;pF&lt;/sub&gt;</t>
        </r>
      </text>
    </comment>
    <comment ref="L193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194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195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196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197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198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199" authorId="0">
      <text>
        <r>
          <rPr>
            <sz val="10"/>
            <rFont val="Arial"/>
            <family val="2"/>
          </rPr>
          <t>Typical @ V&lt;sub&gt;CC&lt;/sub&gt; = 6.0V; T&lt;sub&gt;A&lt;/sub&gt; = 25°C; C&lt;sub&gt;L&lt;/sub&gt; = 50&lt;sub&gt;pF&lt;/sub&gt;</t>
        </r>
      </text>
    </comment>
    <comment ref="L200" authorId="0">
      <text>
        <r>
          <rPr>
            <sz val="10"/>
            <rFont val="Arial"/>
            <family val="2"/>
          </rPr>
          <t>Typical @ V&lt;sub&gt;CC&lt;/sub&gt; 3.0≤ V&lt;sub&gt;CC&lt;/sub&gt; ≤ 3.6; T&lt;sub&gt;A&lt;/sub&gt; = 25°C; C&lt;sub&gt;L&lt;/sub&gt; = 30&lt;sub&gt;pF&lt;/sub&gt;</t>
        </r>
      </text>
    </comment>
    <comment ref="L201" authorId="0">
      <text>
        <r>
          <rPr>
            <sz val="10"/>
            <rFont val="Arial"/>
            <family val="2"/>
          </rPr>
          <t>Typical @ V&lt;sub&gt;CC&lt;/sub&gt; = 3.0 ≤ V&lt;sub&gt;CC&lt;/sub&gt; ≤ 3.6; T&lt;sub&gt;A&lt;/sub&gt; = 25°C; C&lt;sub&gt;L&lt;/sub&gt; = 30&lt;sub&gt;pF &lt;/sub&gt;</t>
        </r>
      </text>
    </comment>
    <comment ref="L202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03" authorId="0">
      <text>
        <r>
          <rPr>
            <sz val="10"/>
            <rFont val="Arial"/>
            <family val="2"/>
          </rPr>
          <t>Typical @ V&lt;sub&gt;CC&lt;/sub&gt; = 5.0V; T&lt;sub&gt;A&lt;/sub&gt; = 25°C; CL = 50&lt;sub&gt;pF&lt;/sub&gt;</t>
        </r>
      </text>
    </comment>
    <comment ref="L204" authorId="0">
      <text>
        <r>
          <rPr>
            <sz val="10"/>
            <rFont val="Arial"/>
            <family val="2"/>
          </rPr>
          <t>Typical @ V&lt;sub&gt;CC&lt;/sub&gt; = 5.0V; T&lt;sub&gt;A&lt;/sub&gt; = 25°C; CL = 50&lt;sub&gt;pF&lt;/sub&gt;</t>
        </r>
      </text>
    </comment>
    <comment ref="L205" authorId="0">
      <text>
        <r>
          <rPr>
            <sz val="10"/>
            <rFont val="Arial"/>
            <family val="2"/>
          </rPr>
          <t>Typical @ V&lt;sub&gt;CC&lt;/sub&gt; = 5.0V; T&lt;sub&gt;A&lt;/sub&gt; = 25°C; CL = 50&lt;sub&gt;pF&lt;/sub&gt;</t>
        </r>
      </text>
    </comment>
    <comment ref="L206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15&lt;sub&gt;pF&lt;/sub&gt;</t>
        </r>
      </text>
    </comment>
    <comment ref="L207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15&lt;sub&gt;pF&lt;/sub&gt;</t>
        </r>
      </text>
    </comment>
    <comment ref="L208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09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15&lt;sub&gt;pF&lt;/sub&gt;</t>
        </r>
      </text>
    </comment>
    <comment ref="L210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11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12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13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14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15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16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15&lt;sub&gt;pF&lt;/sub&gt;</t>
        </r>
      </text>
    </comment>
    <comment ref="L217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15&lt;sub&gt;pF&lt;/sub&gt;</t>
        </r>
      </text>
    </comment>
    <comment ref="L218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19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20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21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22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23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24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25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26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27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28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29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30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31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32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33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34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35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36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37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38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39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40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41" authorId="0">
      <text>
        <r>
          <rPr>
            <sz val="10"/>
            <rFont val="Arial"/>
            <family val="2"/>
          </rPr>
          <t>Typical @ V&lt;sub&gt;CC&lt;/sub&gt; = 3.0V; T&lt;sub&gt;A&lt;/sub&gt; = 25°C; C&lt;sub&gt;L&lt;/sub&gt; = 30&lt;sub&gt;pF&lt;/sub&gt;</t>
        </r>
      </text>
    </comment>
    <comment ref="L242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43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44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45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46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47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48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49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50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51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L252" authorId="0">
      <text>
        <r>
          <rPr>
            <sz val="10"/>
            <rFont val="Arial"/>
            <family val="2"/>
          </rPr>
          <t>C&lt;sub&gt;L&lt;/sub&gt; =10 pF; R&lt;sub&gt;L&lt;/sub&gt; =1MΩ V&lt;sub&gt;CC&lt;/sub&gt; = 3.6V; T&lt;sub&gt;A&lt;/sub&gt; = −55°C to +125°C</t>
        </r>
      </text>
    </comment>
    <comment ref="N252" authorId="0">
      <text>
        <r>
          <rPr>
            <sz val="10"/>
            <rFont val="Arial"/>
            <family val="2"/>
          </rPr>
          <t>Vcc = 3.3 V</t>
        </r>
      </text>
    </comment>
    <comment ref="L255" authorId="0">
      <text>
        <r>
          <rPr>
            <sz val="10"/>
            <rFont val="Arial"/>
            <family val="2"/>
          </rPr>
          <t>Vcc=1.8V</t>
        </r>
      </text>
    </comment>
    <comment ref="N255" authorId="0">
      <text>
        <r>
          <rPr>
            <sz val="10"/>
            <rFont val="Arial"/>
            <family val="2"/>
          </rPr>
          <t>Vcc=1.8V</t>
        </r>
      </text>
    </comment>
    <comment ref="L256" authorId="0">
      <text>
        <r>
          <rPr>
            <sz val="10"/>
            <rFont val="Arial"/>
            <family val="2"/>
          </rPr>
          <t>V&lt;sub&gt;CC&lt;/sub&gt; = 1.8 V</t>
        </r>
      </text>
    </comment>
    <comment ref="N256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57" authorId="0">
      <text>
        <r>
          <rPr>
            <sz val="10"/>
            <rFont val="Arial"/>
            <family val="2"/>
          </rPr>
          <t>V&lt;sub&gt;CC&lt;/sub&gt; = 1.8 V</t>
        </r>
      </text>
    </comment>
    <comment ref="N25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58" authorId="0">
      <text>
        <r>
          <rPr>
            <sz val="10"/>
            <rFont val="Arial"/>
            <family val="2"/>
          </rPr>
          <t>C&lt;sub&gt;L&lt;/sub&gt; =10 pF; R&lt;sub&gt;L&lt;/sub&gt; =1MΩ V&lt;sub&gt;CC&lt;/sub&gt; = 3.6V; T&lt;sub&gt;A&lt;/sub&gt; = −55°C to +125°C</t>
        </r>
      </text>
    </comment>
    <comment ref="N25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59" authorId="0">
      <text>
        <r>
          <rPr>
            <sz val="10"/>
            <rFont val="Arial"/>
            <family val="2"/>
          </rPr>
          <t>V&lt;sub&gt;CC&lt;/sub&gt; = 3.0 V</t>
        </r>
      </text>
    </comment>
    <comment ref="N25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61" authorId="0">
      <text>
        <r>
          <rPr>
            <sz val="10"/>
            <rFont val="Arial"/>
            <family val="2"/>
          </rPr>
          <t>V&lt;sub&gt;CC&lt;/sub&gt;= 3.0V; C&lt;sub&gt;L &lt;/sub&gt;= 50 pF</t>
        </r>
      </text>
    </comment>
    <comment ref="N26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62" authorId="0">
      <text>
        <r>
          <rPr>
            <sz val="10"/>
            <rFont val="Arial"/>
            <family val="2"/>
          </rPr>
          <t>V&lt;sub&gt;CC&lt;/sub&gt; = 3.0 V</t>
        </r>
      </text>
    </comment>
    <comment ref="N26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63" authorId="0">
      <text>
        <r>
          <rPr>
            <sz val="10"/>
            <rFont val="Arial"/>
            <family val="2"/>
          </rPr>
          <t>V&lt;sub&gt;CC&lt;/sub&gt; = 3.3 V</t>
        </r>
      </text>
    </comment>
    <comment ref="N26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64" authorId="0">
      <text>
        <r>
          <rPr>
            <sz val="10"/>
            <rFont val="Arial"/>
            <family val="2"/>
          </rPr>
          <t>V&lt;sub&gt;CC&lt;/sub&gt; = 3 Volts</t>
        </r>
      </text>
    </comment>
    <comment ref="L265" authorId="0">
      <text>
        <r>
          <rPr>
            <sz val="10"/>
            <rFont val="Arial"/>
            <family val="2"/>
          </rPr>
          <t>TA = 25 degrees C, CL = 50 pF, VCC = 5 Volts</t>
        </r>
      </text>
    </comment>
    <comment ref="N26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66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5 Volts</t>
        </r>
      </text>
    </comment>
    <comment ref="N266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67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26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68" authorId="0">
      <text>
        <r>
          <rPr>
            <sz val="10"/>
            <rFont val="Arial"/>
            <family val="2"/>
          </rPr>
          <t>A to Y, TA = 25 degrees C, CL = 50 pF, VCC = 5 Volts</t>
        </r>
      </text>
    </comment>
    <comment ref="N26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69" authorId="0">
      <text>
        <r>
          <rPr>
            <sz val="10"/>
            <rFont val="Arial"/>
            <family val="2"/>
          </rPr>
          <t>A to Y, T&lt;sub&gt;A&lt;/sub&gt; = 25°C, C&lt;sub&gt;L&lt;/sub&gt;= 50 pF, V&lt;sub&gt;CC&lt;/sub&gt; = 5.0 Volts</t>
        </r>
      </text>
    </comment>
    <comment ref="N269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70" authorId="0">
      <text>
        <r>
          <rPr>
            <sz val="10"/>
            <rFont val="Arial"/>
            <family val="2"/>
          </rPr>
          <t>A to Y, T&lt;sub&gt;A&lt;/sub&gt; = 25°C, C&lt;sub&gt;L&lt;/sub&gt;= 50 pF, V&lt;sub&gt;CC&lt;/sub&gt; = 5.0 Volts</t>
        </r>
      </text>
    </comment>
    <comment ref="N270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71" authorId="0">
      <text>
        <r>
          <rPr>
            <sz val="10"/>
            <rFont val="Arial"/>
            <family val="2"/>
          </rPr>
          <t>A to Y, T&lt;sub&gt;A&lt;/sub&gt; = 25°C, C&lt;sub&gt;L&lt;/sub&gt;= 50 pF, V&lt;sub&gt;CC&lt;/sub&gt; = 5.0 Volts</t>
        </r>
      </text>
    </comment>
    <comment ref="N27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72" authorId="0">
      <text>
        <r>
          <rPr>
            <sz val="10"/>
            <rFont val="Arial"/>
            <family val="2"/>
          </rPr>
          <t>Vcc = 3.0</t>
        </r>
      </text>
    </comment>
    <comment ref="N272" authorId="0">
      <text>
        <r>
          <rPr>
            <sz val="10"/>
            <rFont val="Arial"/>
            <family val="2"/>
          </rPr>
          <t>Vcc = 3.0 V</t>
        </r>
      </text>
    </comment>
    <comment ref="L273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5.0 Volts</t>
        </r>
      </text>
    </comment>
    <comment ref="N273" authorId="0">
      <text>
        <r>
          <rPr>
            <sz val="10"/>
            <rFont val="Arial"/>
            <family val="2"/>
          </rPr>
          <t>V&lt;sub&gt;CC&lt;/sub&gt;= 4.5 Volts</t>
        </r>
      </text>
    </comment>
    <comment ref="L274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5.0 Volts</t>
        </r>
      </text>
    </comment>
    <comment ref="N27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75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5 Volts</t>
        </r>
      </text>
    </comment>
    <comment ref="N27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76" authorId="0">
      <text>
        <r>
          <rPr>
            <sz val="10"/>
            <rFont val="Arial"/>
            <family val="2"/>
          </rPr>
          <t>V&lt;sub&gt;CC&lt;/sub&gt;= 4.5 Volts; R&lt;sub&gt;L&lt;/sub&gt; = R&lt;sub&gt;1&lt;/sub&gt; = 500 Ω, C&lt;sub&gt;L&lt;/sub&gt; = 50 pF</t>
        </r>
      </text>
    </comment>
    <comment ref="N276" authorId="0">
      <text>
        <r>
          <rPr>
            <sz val="10"/>
            <rFont val="Arial"/>
            <family val="2"/>
          </rPr>
          <t>V&lt;sub&gt;CC&lt;/sub&gt;= 4.5 Volts</t>
        </r>
      </text>
    </comment>
    <comment ref="L277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27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78" authorId="0">
      <text>
        <r>
          <rPr>
            <sz val="10"/>
            <rFont val="Arial"/>
            <family val="2"/>
          </rPr>
          <t>A to Y, T&lt;sub&gt;A&lt;/sub&gt; = 25 degrees C, C&lt;sub&gt;L&lt;/sub&gt; = 50 pF, V&lt;sub&gt;CC&lt;/sub&gt; = 5 Volts</t>
        </r>
      </text>
    </comment>
    <comment ref="N27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79" authorId="0">
      <text>
        <r>
          <rPr>
            <sz val="10"/>
            <rFont val="Arial"/>
            <family val="2"/>
          </rPr>
          <t>T&lt;sub&gt;A&lt;/sub&gt; = 25 degrees C, C&lt;sub&gt;L&lt;/sub&gt; = 50 pF, V&lt;sub&gt;CC&lt;/sub&gt; = 5 Volts</t>
        </r>
      </text>
    </comment>
    <comment ref="N279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80" authorId="0">
      <text>
        <r>
          <rPr>
            <sz val="10"/>
            <rFont val="Arial"/>
            <family val="2"/>
          </rPr>
          <t>A to Y, TA = 25 degrees C, CL = 50 pF, VCC = 5 Volts</t>
        </r>
      </text>
    </comment>
    <comment ref="N280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82" authorId="0">
      <text>
        <r>
          <rPr>
            <sz val="10"/>
            <rFont val="Arial"/>
            <family val="2"/>
          </rPr>
          <t>A to Y, TA = 25 degrees C, CL = 50 pF, VCC = 5 Volts</t>
        </r>
      </text>
    </comment>
    <comment ref="N283" authorId="0">
      <text>
        <r>
          <rPr>
            <sz val="10"/>
            <rFont val="Arial"/>
            <family val="2"/>
          </rPr>
          <t>V&lt;sub&gt;CC&lt;/sub&gt; = 4.5 V; V&lt;sub&gt;OL&lt;/sub&gt; @ I&lt;sub&gt;OL&lt;/sub&gt;; V&lt;sub&gt;IN&lt;/sub&gt; = V&lt;sub&gt;IH&lt;/sub&gt;</t>
        </r>
      </text>
    </comment>
    <comment ref="N284" authorId="0">
      <text>
        <r>
          <rPr>
            <sz val="10"/>
            <rFont val="Arial"/>
            <family val="2"/>
          </rPr>
          <t>V&lt;sub&gt;CC&lt;/sub&gt; = 4.5 V; V&lt;sub&gt;OL&lt;/sub&gt; @ I&lt;sub&gt;OL&lt;/sub&gt;; V&lt;sub&gt;IN&lt;/sub&gt; = V&lt;sub&gt;IH&lt;/sub&gt;</t>
        </r>
      </text>
    </comment>
    <comment ref="L285" authorId="0">
      <text>
        <r>
          <rPr>
            <sz val="10"/>
            <rFont val="Arial"/>
            <family val="2"/>
          </rPr>
          <t>V&lt;sub&gt;cc&lt;/sub&gt; = 4.5 V</t>
        </r>
      </text>
    </comment>
    <comment ref="N28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86" authorId="0">
      <text>
        <r>
          <rPr>
            <sz val="10"/>
            <rFont val="Arial"/>
            <family val="2"/>
          </rPr>
          <t>Vcc = 4.5 V</t>
        </r>
      </text>
    </comment>
    <comment ref="N28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87" authorId="0">
      <text>
        <r>
          <rPr>
            <sz val="10"/>
            <rFont val="Arial"/>
            <family val="2"/>
          </rPr>
          <t>V&lt;sub&gt;CC&lt;/sub&gt; = 4.5 V</t>
        </r>
      </text>
    </comment>
    <comment ref="N28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88" authorId="0">
      <text>
        <r>
          <rPr>
            <sz val="10"/>
            <rFont val="Arial"/>
            <family val="2"/>
          </rPr>
          <t>Vcc = 4.5 V</t>
        </r>
      </text>
    </comment>
    <comment ref="N28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89" authorId="0">
      <text>
        <r>
          <rPr>
            <sz val="10"/>
            <rFont val="Arial"/>
            <family val="2"/>
          </rPr>
          <t>Vcc = 4.5 V</t>
        </r>
      </text>
    </comment>
    <comment ref="N28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90" authorId="0">
      <text>
        <r>
          <rPr>
            <sz val="10"/>
            <rFont val="Arial"/>
            <family val="2"/>
          </rPr>
          <t>Vcc = 4.5 V</t>
        </r>
      </text>
    </comment>
    <comment ref="N29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91" authorId="0">
      <text>
        <r>
          <rPr>
            <sz val="10"/>
            <rFont val="Arial"/>
            <family val="2"/>
          </rPr>
          <t>V&lt;sub&gt;cc&lt;/sub&gt; = 4.5 V</t>
        </r>
      </text>
    </comment>
    <comment ref="N29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92" authorId="0">
      <text>
        <r>
          <rPr>
            <sz val="10"/>
            <rFont val="Arial"/>
            <family val="2"/>
          </rPr>
          <t>V&lt;sub&gt;cc&lt;/sub&gt; = 4.5 V</t>
        </r>
      </text>
    </comment>
    <comment ref="N29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93" authorId="0">
      <text>
        <r>
          <rPr>
            <sz val="10"/>
            <rFont val="Arial"/>
            <family val="2"/>
          </rPr>
          <t>V&lt;sub&gt;cc&lt;/sub&gt; = 4.5 V</t>
        </r>
      </text>
    </comment>
    <comment ref="N29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94" authorId="0">
      <text>
        <r>
          <rPr>
            <sz val="10"/>
            <rFont val="Arial"/>
            <family val="2"/>
          </rPr>
          <t>Vcc = 4.5 V</t>
        </r>
      </text>
    </comment>
    <comment ref="N29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95" authorId="0">
      <text>
        <r>
          <rPr>
            <sz val="10"/>
            <rFont val="Arial"/>
            <family val="2"/>
          </rPr>
          <t>V&lt;sub&gt;cc&lt;/sub&gt; = 4.5 V</t>
        </r>
      </text>
    </comment>
    <comment ref="N29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96" authorId="0">
      <text>
        <r>
          <rPr>
            <sz val="10"/>
            <rFont val="Arial"/>
            <family val="2"/>
          </rPr>
          <t>Vcc = 4.5 V</t>
        </r>
      </text>
    </comment>
    <comment ref="N29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297" authorId="0">
      <text>
        <r>
          <rPr>
            <sz val="10"/>
            <rFont val="Arial"/>
            <family val="2"/>
          </rPr>
          <t>TA = 25 degrees C, CL = 50 pF, VCC = 5 Volts</t>
        </r>
      </text>
    </comment>
    <comment ref="N29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98" authorId="0">
      <text>
        <r>
          <rPr>
            <sz val="10"/>
            <rFont val="Arial"/>
            <family val="2"/>
          </rPr>
          <t>A to Y, TA = 25 degrees C, CL = 50 pF, VCC = 5 Volts</t>
        </r>
      </text>
    </comment>
    <comment ref="N29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299" authorId="0">
      <text>
        <r>
          <rPr>
            <sz val="10"/>
            <rFont val="Arial"/>
            <family val="2"/>
          </rPr>
          <t>VCC = 5 Volts</t>
        </r>
      </text>
    </comment>
    <comment ref="L300" authorId="0">
      <text>
        <r>
          <rPr>
            <sz val="10"/>
            <rFont val="Arial"/>
            <family val="2"/>
          </rPr>
          <t>A to Y, TA = 25 degrees C, CL = 50 pF, VCC = 5 Volts</t>
        </r>
      </text>
    </comment>
    <comment ref="N300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01" authorId="0">
      <text>
        <r>
          <rPr>
            <sz val="10"/>
            <rFont val="Arial"/>
            <family val="2"/>
          </rPr>
          <t>25°C @ V&lt;sub&gt;cc&lt;/sub&gt; = 3.0 V</t>
        </r>
      </text>
    </comment>
    <comment ref="N30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02" authorId="0">
      <text>
        <r>
          <rPr>
            <sz val="10"/>
            <rFont val="Arial"/>
            <family val="2"/>
          </rPr>
          <t>Vcc=5.0V</t>
        </r>
      </text>
    </comment>
    <comment ref="N302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03" authorId="0">
      <text>
        <r>
          <rPr>
            <sz val="10"/>
            <rFont val="Arial"/>
            <family val="2"/>
          </rPr>
          <t>V&lt;sub&gt;cc&lt;/sub&gt; = 3.3 V; R&lt;sub&gt;L&lt;/sub&gt; = 1MΩ; C&lt;sub&gt;L&lt;/sub&gt; =15 pF</t>
        </r>
      </text>
    </comment>
    <comment ref="N303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04" authorId="0">
      <text>
        <r>
          <rPr>
            <sz val="10"/>
            <rFont val="Arial"/>
            <family val="2"/>
          </rPr>
          <t>Vcc=5.0V, RL=1M, CL=15pF</t>
        </r>
      </text>
    </comment>
    <comment ref="N30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05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5.0 Volts</t>
        </r>
      </text>
    </comment>
    <comment ref="N30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06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5.0 Volts</t>
        </r>
      </text>
    </comment>
    <comment ref="N30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07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to 3.6 Volts</t>
        </r>
      </text>
    </comment>
    <comment ref="N30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08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Volts</t>
        </r>
      </text>
    </comment>
    <comment ref="N30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09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to 3.6 Volts</t>
        </r>
      </text>
    </comment>
    <comment ref="N309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0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to 3.6 Volts</t>
        </r>
      </text>
    </comment>
    <comment ref="N310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1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to 3.6 Volts</t>
        </r>
      </text>
    </comment>
    <comment ref="N31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2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to 3.6 Volts</t>
        </r>
      </text>
    </comment>
    <comment ref="N312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3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13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4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1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5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1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6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Volts</t>
        </r>
      </text>
    </comment>
    <comment ref="N316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7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1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8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Volts</t>
        </r>
      </text>
    </comment>
    <comment ref="N31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19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Volts</t>
        </r>
      </text>
    </comment>
    <comment ref="N319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0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Volts</t>
        </r>
      </text>
    </comment>
    <comment ref="N320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1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Volts</t>
        </r>
      </text>
    </comment>
    <comment ref="N32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2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22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3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23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4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2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5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2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6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26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7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2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8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2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29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to 3.6 Volts</t>
        </r>
      </text>
    </comment>
    <comment ref="N329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30" authorId="0">
      <text>
        <r>
          <rPr>
            <sz val="10"/>
            <rFont val="Arial"/>
            <family val="2"/>
          </rPr>
          <t>Input to Output, T&lt;sub&gt;A&lt;/sub&gt; = 25 degrees C, C&lt;sub&gt;L&lt;/sub&gt; = 30 pF, V&lt;sub&gt;CC&lt;/sub&gt; = 3.0 to 3.6 Volts</t>
        </r>
      </text>
    </comment>
    <comment ref="N330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31" authorId="0">
      <text>
        <r>
          <rPr>
            <sz val="10"/>
            <rFont val="Arial"/>
            <family val="2"/>
          </rPr>
          <t>A to B, T&lt;sub&gt;A&lt;/sub&gt; = 25 degrees C, C&lt;sub&gt;L&lt;/sub&gt; = 50 pF, V&lt;sub&gt;CC&lt;/sub&gt; = 5 Volts</t>
        </r>
      </text>
    </comment>
    <comment ref="N33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33" authorId="0">
      <text>
        <r>
          <rPr>
            <sz val="10"/>
            <rFont val="Arial"/>
            <family val="2"/>
          </rPr>
          <t>An to Bn, T&lt;sub&gt;A&lt;/sub&gt; = 25 degrees C, C&lt;sub&gt;L&lt;/sub&gt; = 50 pF, V&lt;sub&gt;CC&lt;/sub&gt; = 5 Volts</t>
        </r>
      </text>
    </comment>
    <comment ref="N33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34" authorId="0">
      <text>
        <r>
          <rPr>
            <sz val="10"/>
            <rFont val="Arial"/>
            <family val="2"/>
          </rPr>
          <t>Clock to Bus, T&lt;sub&gt;A&lt;/sub&gt; = 25 degrees C, C&lt;sub&gt;L&lt;/sub&gt; = 50 pF, V&lt;sub&gt;CC&lt;/sub&gt; = 5 Volts</t>
        </r>
      </text>
    </comment>
    <comment ref="N33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35" authorId="0">
      <text>
        <r>
          <rPr>
            <sz val="10"/>
            <rFont val="Arial"/>
            <family val="2"/>
          </rPr>
          <t>Clock to An, T&lt;sub&gt;A&lt;/sub&gt; = 25 degrees C, C&lt;sub&gt;L&lt;/sub&gt; = 50 pF, V&lt;sub&gt;CC&lt;/sub&gt; = 5 Volts</t>
        </r>
      </text>
    </comment>
    <comment ref="N33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36" authorId="0">
      <text>
        <r>
          <rPr>
            <sz val="10"/>
            <rFont val="Arial"/>
            <family val="2"/>
          </rPr>
          <t>An to Bn, T&lt;sub&gt;A&lt;/sub&gt; = 25 degrees C, C&lt;sub&gt;L&lt;/sub&gt; = 50 pF, V&lt;sub&gt;CC&lt;/sub&gt; = 5 Volts</t>
        </r>
      </text>
    </comment>
    <comment ref="N33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37" authorId="0">
      <text>
        <r>
          <rPr>
            <sz val="10"/>
            <rFont val="Arial"/>
            <family val="2"/>
          </rPr>
          <t>An to Bn, T&lt;sub&gt;A&lt;/sub&gt; = 25 degrees C, C&lt;sub&gt;L&lt;/sub&gt; = 50 pF, V&lt;sub&gt;CC&lt;/sub&gt; = 5 Volts</t>
        </r>
      </text>
    </comment>
    <comment ref="N33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38" authorId="0">
      <text>
        <r>
          <rPr>
            <sz val="10"/>
            <rFont val="Arial"/>
            <family val="2"/>
          </rPr>
          <t>Clock to Bus, T&lt;sub&gt;A&lt;/sub&gt; = 25 degrees C, C&lt;sub&gt;L&lt;/sub&gt; = 50 pF, V&lt;sub&gt;CC&lt;/sub&gt; = 5 Volts</t>
        </r>
      </text>
    </comment>
    <comment ref="N33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39" authorId="0">
      <text>
        <r>
          <rPr>
            <sz val="10"/>
            <rFont val="Arial"/>
            <family val="2"/>
          </rPr>
          <t>Clock to An, T&lt;sub&gt;A&lt;/sub&gt; = 25 degrees C, C&lt;sub&gt;L&lt;/sub&gt; = 50 pF, V&lt;sub&gt;CC&lt;/sub&gt; = 5 Volts</t>
        </r>
      </text>
    </comment>
    <comment ref="N33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40" authorId="0">
      <text>
        <r>
          <rPr>
            <sz val="10"/>
            <rFont val="Arial"/>
            <family val="2"/>
          </rPr>
          <t>A to B, T&lt;sub&gt;A&lt;/sub&gt; = 25 degrees C, C&lt;sub&gt;L&lt;/sub&gt; = 50 pF, V&lt;sub&gt;CC&lt;/sub&gt; = 4.5 Volts</t>
        </r>
      </text>
    </comment>
    <comment ref="N34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41" authorId="0">
      <text>
        <r>
          <rPr>
            <sz val="10"/>
            <rFont val="Arial"/>
            <family val="2"/>
          </rPr>
          <t>A to B, T&lt;sub&gt;A&lt;/sub&gt; = 25 degrees C, C&lt;sub&gt;L&lt;/sub&gt; = 50 pF, V&lt;sub&gt;CC&lt;/sub&gt; = 4.5 Volts</t>
        </r>
      </text>
    </comment>
    <comment ref="N34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42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2.7 Volts</t>
        </r>
      </text>
    </comment>
    <comment ref="N342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43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43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44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4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45" authorId="0">
      <text>
        <r>
          <rPr>
            <sz val="10"/>
            <rFont val="Arial"/>
            <family val="2"/>
          </rPr>
          <t>A to B, T&lt;sub&gt;A&lt;/sub&gt; = 25 degrees C, C&lt;sub&gt;L&lt;/sub&gt; = 50 pF, V&lt;sub&gt;CCA&lt;/sub&gt; = 5 Volts, V&lt;sub&gt;CCB&lt;/sub&gt; = 2.7 Volts</t>
        </r>
      </text>
    </comment>
    <comment ref="N345" authorId="0">
      <text>
        <r>
          <rPr>
            <sz val="10"/>
            <rFont val="Arial"/>
            <family val="2"/>
          </rPr>
          <t>V&lt;sub&gt;CC&lt;/sub&gt; = 5.0 Volts</t>
        </r>
      </text>
    </comment>
    <comment ref="L346" authorId="0">
      <text>
        <r>
          <rPr>
            <sz val="10"/>
            <rFont val="Arial"/>
            <family val="2"/>
          </rPr>
          <t>A to B, T&lt;sub&gt;A&lt;/sub&gt; = 25 degrees C, C&lt;sub&gt;L&lt;/sub&gt; = 50 pF, V&lt;sub&gt;CCA&lt;/sub&gt; = 2.7 to 3.6 Volts, V&lt;sub&gt;CCB&lt;/sub&gt; = 3.0 to 3.6 Volts</t>
        </r>
      </text>
    </comment>
    <comment ref="N346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47" authorId="0">
      <text>
        <r>
          <rPr>
            <sz val="10"/>
            <rFont val="Arial"/>
            <family val="2"/>
          </rPr>
          <t>A to B, T&lt;sub&gt;A&lt;/sub&gt; = 25 degrees C, C&lt;sub&gt;L&lt;/sub&gt; = 50 pF, V&lt;sub&gt;CC&lt;/sub&gt; = 5 Volts</t>
        </r>
      </text>
    </comment>
    <comment ref="N34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48" authorId="0">
      <text>
        <r>
          <rPr>
            <sz val="10"/>
            <rFont val="Arial"/>
            <family val="2"/>
          </rPr>
          <t>A to B, T&lt;sub&gt;A&lt;/sub&gt; = 25 degrees C, C&lt;sub&gt;L&lt;/sub&gt; = 50 pF, V&lt;sub&gt;CC&lt;/sub&gt; = 5 Volts</t>
        </r>
      </text>
    </comment>
    <comment ref="N34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49" authorId="0">
      <text>
        <r>
          <rPr>
            <sz val="10"/>
            <rFont val="Arial"/>
            <family val="2"/>
          </rPr>
          <t>A to B, T&lt;sub&gt;A&lt;/sub&gt; = 25 degrees C, C&lt;sub&gt;L&lt;/sub&gt; = 50 pF, V&lt;sub&gt;CC&lt;/sub&gt; = 6.0 Volts</t>
        </r>
      </text>
    </comment>
    <comment ref="N349" authorId="0">
      <text>
        <r>
          <rPr>
            <sz val="10"/>
            <rFont val="Arial"/>
            <family val="2"/>
          </rPr>
          <t>V&lt;sub&gt;CC&lt;/sub&gt; = 6.0 Volts</t>
        </r>
      </text>
    </comment>
    <comment ref="L350" authorId="0">
      <text>
        <r>
          <rPr>
            <sz val="10"/>
            <rFont val="Arial"/>
            <family val="2"/>
          </rPr>
          <t>A to B, T&lt;sub&gt;A&lt;/sub&gt; = 25 degrees C, C&lt;sub&gt;L&lt;/sub&gt; = 50 pF, V&lt;sub&gt;CC&lt;/sub&gt; = 5.0 Volts</t>
        </r>
      </text>
    </comment>
    <comment ref="N350" authorId="0">
      <text>
        <r>
          <rPr>
            <sz val="10"/>
            <rFont val="Arial"/>
            <family val="2"/>
          </rPr>
          <t>V&lt;sub&gt;CC&lt;/sub&gt; = 5.5 Volts</t>
        </r>
      </text>
    </comment>
    <comment ref="L351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5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52" authorId="0">
      <text>
        <r>
          <rPr>
            <sz val="10"/>
            <rFont val="Arial"/>
            <family val="2"/>
          </rPr>
          <t>Typical @ V&lt;sub&gt;CC&lt;/sub&gt; = 5.0V; T&lt;sub&gt;A&lt;/sub&gt; = 25°C; C&lt;sub&gt;L&lt;/sub&gt; = 50&lt;sub&gt;pF&lt;/sub&gt;</t>
        </r>
      </text>
    </comment>
    <comment ref="N35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53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53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54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5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55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5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56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56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57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5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58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5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59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59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60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60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61" authorId="0">
      <text>
        <r>
          <rPr>
            <sz val="10"/>
            <rFont val="Arial"/>
            <family val="2"/>
          </rPr>
          <t>Input to Output, T&lt;sub&gt;A&lt;/sub&gt; = 25 degrees C, C&lt;sub&gt;L&lt;/sub&gt; = 50 pF, V&lt;sub&gt;CC&lt;/sub&gt; = 3.0 to 3.6 Volts</t>
        </r>
      </text>
    </comment>
    <comment ref="N361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62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62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63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</t>
        </r>
      </text>
    </comment>
    <comment ref="N363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64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Volts
Clock to Q, T&lt;sub&gt;A&lt;/sub&gt; = 25 degrees C, C&lt;sub&gt;L&lt;/sub&gt; = 50 pF, V&lt;sub&gt;CC&lt;/sub&gt; = 3.0 Volts</t>
        </r>
      </text>
    </comment>
    <comment ref="N36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65" authorId="0">
      <text>
        <r>
          <rPr>
            <sz val="10"/>
            <rFont val="Arial"/>
            <family val="2"/>
          </rPr>
          <t>Clock to Q, T&lt;sub&gt;A&lt;/sub&gt; = 25 degrees C, C&lt;sub&gt;L&lt;/sub&gt; = 30 pF, V&lt;sub&gt;CC&lt;/sub&gt; = 3.0 to 3.6 Volts</t>
        </r>
      </text>
    </comment>
    <comment ref="N36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366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36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67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36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68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36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69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36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70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37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71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7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72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L373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7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74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7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75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375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376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376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377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377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378" authorId="0">
      <text>
        <r>
          <rPr>
            <sz val="10"/>
            <rFont val="Arial"/>
            <family val="2"/>
          </rPr>
          <t>Clock to Q, T&lt;sub&gt;A&lt;/sub&gt; = 25 degrees C, C&lt;sub&gt;L&lt;/sub&gt; = 50 pF, V&lt;sub&gt;DD&lt;/sub&gt; = 10 Volts</t>
        </r>
      </text>
    </comment>
    <comment ref="N378" authorId="0">
      <text>
        <r>
          <rPr>
            <sz val="10"/>
            <rFont val="Arial"/>
            <family val="2"/>
          </rPr>
          <t>V&lt;sub&gt;DD&lt;/sub&gt; = 10 Volts</t>
        </r>
      </text>
    </comment>
    <comment ref="L379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7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0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8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1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8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2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8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3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8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4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8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5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8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6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8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7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8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8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38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89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6.0 Volts</t>
        </r>
      </text>
    </comment>
    <comment ref="N389" authorId="0">
      <text>
        <r>
          <rPr>
            <sz val="10"/>
            <rFont val="Arial"/>
            <family val="2"/>
          </rPr>
          <t>V&lt;sub&gt;CC&lt;/sub&gt; = 6.0 Volts</t>
        </r>
      </text>
    </comment>
    <comment ref="L390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39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91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39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92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39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93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39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94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6.0 Volts</t>
        </r>
      </text>
    </comment>
    <comment ref="N394" authorId="0">
      <text>
        <r>
          <rPr>
            <sz val="10"/>
            <rFont val="Arial"/>
            <family val="2"/>
          </rPr>
          <t>V&lt;sub&gt;CC&lt;/sub&gt; = 6.0 Volts</t>
        </r>
      </text>
    </comment>
    <comment ref="L395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395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96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6.0 Volts</t>
        </r>
      </text>
    </comment>
    <comment ref="N396" authorId="0">
      <text>
        <r>
          <rPr>
            <sz val="10"/>
            <rFont val="Arial"/>
            <family val="2"/>
          </rPr>
          <t>V&lt;sub&gt;CC&lt;/sub&gt; = 6.0 Volts</t>
        </r>
      </text>
    </comment>
    <comment ref="L397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39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98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39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399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39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00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40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01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40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02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to 3.6 Volts</t>
        </r>
      </text>
    </comment>
    <comment ref="N402" authorId="0">
      <text>
        <r>
          <rPr>
            <sz val="10"/>
            <rFont val="Arial"/>
            <family val="2"/>
          </rPr>
          <t>V&lt;sub&gt;CC&lt;/sub&gt; = 3.0 to 3.6 Volts</t>
        </r>
      </text>
    </comment>
    <comment ref="L403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to 3.6 Volts</t>
        </r>
      </text>
    </comment>
    <comment ref="N403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404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to 3.6 Volts</t>
        </r>
      </text>
    </comment>
    <comment ref="N404" authorId="0">
      <text>
        <r>
          <rPr>
            <sz val="10"/>
            <rFont val="Arial"/>
            <family val="2"/>
          </rPr>
          <t>V&lt;sub&gt;CC&lt;/sub&gt; = 3.0 Volts
V&lt;sub&gt;CC&lt;/sub&gt; = 3.0 Volts</t>
        </r>
      </text>
    </comment>
    <comment ref="L405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to 3.6 Volts</t>
        </r>
      </text>
    </comment>
    <comment ref="N405" authorId="0">
      <text>
        <r>
          <rPr>
            <sz val="10"/>
            <rFont val="Arial"/>
            <family val="2"/>
          </rPr>
          <t>V&lt;sub&gt;CC&lt;/sub&gt; = 3.0 to 3.6 Volts</t>
        </r>
      </text>
    </comment>
    <comment ref="L406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to 3.6 Volts</t>
        </r>
      </text>
    </comment>
    <comment ref="N406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407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to 3.6 Volts</t>
        </r>
      </text>
    </comment>
    <comment ref="N407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408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3.0 to 3.6 Volts</t>
        </r>
      </text>
    </comment>
    <comment ref="N408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409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40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10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410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11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411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12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412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13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413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14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 Volts</t>
        </r>
      </text>
    </comment>
    <comment ref="N414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15" authorId="0">
      <text>
        <r>
          <rPr>
            <sz val="10"/>
            <rFont val="Arial"/>
            <family val="2"/>
          </rPr>
          <t>Clock to Q, T&lt;sub&gt;A&lt;/sub&gt; = 25 degrees C, C&lt;sub&gt;L&lt;/sub&gt; = 15 pF, V&lt;sub&gt;CC&lt;/sub&gt; = 5.0 Volts</t>
        </r>
      </text>
    </comment>
    <comment ref="N415" authorId="0">
      <text>
        <r>
          <rPr>
            <sz val="10"/>
            <rFont val="Arial"/>
            <family val="2"/>
          </rPr>
          <t>V&lt;sub&gt;CC&lt;/sub&gt; = 6.0 Volts</t>
        </r>
      </text>
    </comment>
    <comment ref="L416" authorId="0">
      <text>
        <r>
          <rPr>
            <sz val="10"/>
            <rFont val="Arial"/>
            <family val="2"/>
          </rPr>
          <t>Clock to Q, T&lt;sub&gt;A&lt;/sub&gt; = 25 degrees C, C&lt;sub&gt;L&lt;/sub&gt; = 15 pF, V&lt;sub&gt;CC&lt;/sub&gt; = 5.0 Volts</t>
        </r>
      </text>
    </comment>
    <comment ref="N416" authorId="0">
      <text>
        <r>
          <rPr>
            <sz val="10"/>
            <rFont val="Arial"/>
            <family val="2"/>
          </rPr>
          <t>V&lt;sub&gt;CC&lt;/sub&gt; = 6.0 Volts</t>
        </r>
      </text>
    </comment>
    <comment ref="L417" authorId="0">
      <text>
        <r>
          <rPr>
            <sz val="10"/>
            <rFont val="Arial"/>
            <family val="2"/>
          </rPr>
          <t>Clock to Q, T&lt;sub&gt;A&lt;/sub&gt; = 25 degrees C, C&lt;sub&gt;L&lt;/sub&gt; = 45 pF, V&lt;sub&gt;CC&lt;/sub&gt; = 5.0 Volts</t>
        </r>
      </text>
    </comment>
    <comment ref="N417" authorId="0">
      <text>
        <r>
          <rPr>
            <sz val="10"/>
            <rFont val="Arial"/>
            <family val="2"/>
          </rPr>
          <t>V&lt;sub&gt;CC&lt;/sub&gt; = 6.0 Volts</t>
        </r>
      </text>
    </comment>
    <comment ref="L418" authorId="0">
      <text>
        <r>
          <rPr>
            <sz val="10"/>
            <rFont val="Arial"/>
            <family val="2"/>
          </rPr>
          <t>Clock to Q, T&lt;sub&gt;A&lt;/sub&gt; = 25 degrees C, C&lt;sub&gt;L&lt;/sub&gt; = 45 pF, V&lt;sub&gt;CC&lt;/sub&gt; = 6.0 Volts</t>
        </r>
      </text>
    </comment>
    <comment ref="N418" authorId="0">
      <text>
        <r>
          <rPr>
            <sz val="10"/>
            <rFont val="Arial"/>
            <family val="2"/>
          </rPr>
          <t>V&lt;sub&gt;CC&lt;/sub&gt; = 6.0 Volts</t>
        </r>
      </text>
    </comment>
    <comment ref="L419" authorId="0">
      <text>
        <r>
          <rPr>
            <sz val="10"/>
            <rFont val="Arial"/>
            <family val="2"/>
          </rPr>
          <t>Clock to Q, T&lt;sub&gt;A&lt;/sub&gt; = 25 degrees C, C&lt;sub&gt;L&lt;/sub&gt; = 15 pF, V&lt;sub&gt;CC&lt;/sub&gt; = 5.0 Volts</t>
        </r>
      </text>
    </comment>
    <comment ref="N419" authorId="0">
      <text>
        <r>
          <rPr>
            <sz val="10"/>
            <rFont val="Arial"/>
            <family val="2"/>
          </rPr>
          <t>V&lt;sub&gt;CC&lt;/sub&gt; = 6.0 Volts</t>
        </r>
      </text>
    </comment>
    <comment ref="L420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420" authorId="0">
      <text>
        <r>
          <rPr>
            <sz val="10"/>
            <rFont val="Arial"/>
            <family val="2"/>
          </rPr>
          <t>V&lt;sub&gt;CC&lt;/sub&gt; = 5.5 Volts</t>
        </r>
      </text>
    </comment>
    <comment ref="L421" authorId="0">
      <text>
        <r>
          <rPr>
            <sz val="10"/>
            <rFont val="Arial"/>
            <family val="2"/>
          </rPr>
          <t>Clock to Q, T&lt;sub&gt;A&lt;/sub&gt; = 25 degrees C, C&lt;sub&gt;L&lt;/sub&gt; = 45 pF, V&lt;sub&gt;CC&lt;/sub&gt; = 5.0 Volts</t>
        </r>
      </text>
    </comment>
    <comment ref="N421" authorId="0">
      <text>
        <r>
          <rPr>
            <sz val="10"/>
            <rFont val="Arial"/>
            <family val="2"/>
          </rPr>
          <t>V&lt;sub&gt;CC&lt;/sub&gt; = 5.5 Volts</t>
        </r>
      </text>
    </comment>
    <comment ref="L422" authorId="0">
      <text>
        <r>
          <rPr>
            <sz val="10"/>
            <rFont val="Arial"/>
            <family val="2"/>
          </rPr>
          <t>Clock to Q, T&lt;sub&gt;A&lt;/sub&gt; = 25 degrees C, C&lt;sub&gt;L&lt;/sub&gt; = 45 pF, V&lt;sub&gt;CC&lt;/sub&gt; = 4.5 Volts</t>
        </r>
      </text>
    </comment>
    <comment ref="N422" authorId="0">
      <text>
        <r>
          <rPr>
            <sz val="10"/>
            <rFont val="Arial"/>
            <family val="2"/>
          </rPr>
          <t>V&lt;sub&gt;CC&lt;/sub&gt; = 5.5 Volts</t>
        </r>
      </text>
    </comment>
    <comment ref="L423" authorId="0">
      <text>
        <r>
          <rPr>
            <sz val="10"/>
            <rFont val="Arial"/>
            <family val="2"/>
          </rPr>
          <t>Clock to Q, T&lt;sub&gt;A&lt;/sub&gt; = 25 degrees C, C&lt;sub&gt;L&lt;/sub&gt; = 15 pF, V&lt;sub&gt;CC&lt;/sub&gt; = 5.0 Volts</t>
        </r>
      </text>
    </comment>
    <comment ref="N423" authorId="0">
      <text>
        <r>
          <rPr>
            <sz val="10"/>
            <rFont val="Arial"/>
            <family val="2"/>
          </rPr>
          <t>V&lt;sub&gt;CC&lt;/sub&gt; = 5.5 Volts</t>
        </r>
      </text>
    </comment>
    <comment ref="L424" authorId="0">
      <text>
        <r>
          <rPr>
            <sz val="10"/>
            <rFont val="Arial"/>
            <family val="2"/>
          </rPr>
          <t>Clock to Q, T&lt;sub&gt;A&lt;/sub&gt; = 25 degrees C, C&lt;sub&gt;L&lt;/sub&gt; = 10 pF, V&lt;sub&gt;CC&lt;/sub&gt; = 3.0 Volts</t>
        </r>
      </text>
    </comment>
    <comment ref="N424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425" authorId="0">
      <text>
        <r>
          <rPr>
            <sz val="10"/>
            <rFont val="Arial"/>
            <family val="2"/>
          </rPr>
          <t>Clock to Q, T&lt;sub&gt;A&lt;/sub&gt; = 25 degrees C, C&lt;sub&gt;L&lt;/sub&gt; = 30 pF, V&lt;sub&gt;CC&lt;/sub&gt; = 3.0 Volts</t>
        </r>
      </text>
    </comment>
    <comment ref="N425" authorId="0">
      <text>
        <r>
          <rPr>
            <sz val="10"/>
            <rFont val="Arial"/>
            <family val="2"/>
          </rPr>
          <t>V&lt;sub&gt;CC&lt;/sub&gt; = 3.0 Volts</t>
        </r>
      </text>
    </comment>
    <comment ref="L426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426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27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427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28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428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29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4.5 Volts</t>
        </r>
      </text>
    </comment>
    <comment ref="N429" authorId="0">
      <text>
        <r>
          <rPr>
            <sz val="10"/>
            <rFont val="Arial"/>
            <family val="2"/>
          </rPr>
          <t>V&lt;sub&gt;CC&lt;/sub&gt; = 4.5 Volts</t>
        </r>
      </text>
    </comment>
    <comment ref="L430" authorId="0">
      <text>
        <r>
          <rPr>
            <sz val="10"/>
            <rFont val="Arial"/>
            <family val="2"/>
          </rPr>
          <t>Clock to Q, T&lt;sub&gt;A&lt;/sub&gt; = 25 degrees C, C&lt;sub&gt;L&lt;/sub&gt; = 50 pF, V&lt;sub&gt;CC&lt;/sub&gt; = 5.0 Volts</t>
        </r>
      </text>
    </comment>
    <comment ref="N430" authorId="0">
      <text>
        <r>
          <rPr>
            <sz val="10"/>
            <rFont val="Arial"/>
            <family val="2"/>
          </rPr>
          <t>V&lt;sub&gt;CC&lt;/sub&gt; = 4.5 Volts</t>
        </r>
      </text>
    </comment>
  </commentList>
</comments>
</file>

<file path=xl/sharedStrings.xml><?xml version="1.0" encoding="utf-8"?>
<sst xmlns="http://schemas.openxmlformats.org/spreadsheetml/2006/main" count="4734" uniqueCount="562">
  <si>
    <t>Product</t>
  </si>
  <si>
    <t>Datasheet</t>
  </si>
  <si>
    <t>Description</t>
  </si>
  <si>
    <t>Compliance</t>
  </si>
  <si>
    <t>Status</t>
  </si>
  <si>
    <t>Type</t>
  </si>
  <si>
    <t>VCC Min (V)</t>
  </si>
  <si>
    <t>VCC Max (V)</t>
  </si>
  <si>
    <t>tpd Max (ns)</t>
  </si>
  <si>
    <t>PD Max (W)</t>
  </si>
  <si>
    <t>IO Max (mA)</t>
  </si>
  <si>
    <t>Package Type</t>
  </si>
  <si>
    <t xml:space="preserve">Dual Complementary Pair Plus Inverter </t>
  </si>
  <si>
    <t>Pb-free
Halide free
AEC Qualified
PPAP Capable</t>
  </si>
  <si>
    <t>Active</t>
  </si>
  <si>
    <t>Arithmetic Logic Unit</t>
  </si>
  <si>
    <t>3</t>
  </si>
  <si>
    <t>18</t>
  </si>
  <si>
    <t>75</t>
  </si>
  <si>
    <t>0.5</t>
  </si>
  <si>
    <t>2.25
2.5</t>
  </si>
  <si>
    <t>SOIC-14</t>
  </si>
  <si>
    <t>4-Bit Full Adder</t>
  </si>
  <si>
    <t>Pb-free
Halide free</t>
  </si>
  <si>
    <t>Adder</t>
  </si>
  <si>
    <t>320</t>
  </si>
  <si>
    <t>2.25</t>
  </si>
  <si>
    <t>SOIC-16</t>
  </si>
  <si>
    <t>Decade Counter/Divider</t>
  </si>
  <si>
    <t>Counter</t>
  </si>
  <si>
    <t>460</t>
  </si>
  <si>
    <t>Preset Divide By N Counter</t>
  </si>
  <si>
    <t>240</t>
  </si>
  <si>
    <t>14-Bit Binary Counter</t>
  </si>
  <si>
    <t>1725</t>
  </si>
  <si>
    <t>Octal Counter</t>
  </si>
  <si>
    <t>7-Stage Ripple Counter</t>
  </si>
  <si>
    <t>750</t>
  </si>
  <si>
    <t>Binary/Decade Up/Down Counter</t>
  </si>
  <si>
    <t>200</t>
  </si>
  <si>
    <t>12-Bit Binary Counter</t>
  </si>
  <si>
    <t>1440</t>
  </si>
  <si>
    <t>SOIC-16
TSSOP-16</t>
  </si>
  <si>
    <t>14-Stage Binary Counter/Oscillator</t>
  </si>
  <si>
    <t>1300</t>
  </si>
  <si>
    <t>Hex Bounce Eliminator</t>
  </si>
  <si>
    <t>Bounce Eliminator</t>
  </si>
  <si>
    <t>9</t>
  </si>
  <si>
    <t>SOIC-16W</t>
  </si>
  <si>
    <t>Binary Up/Down Counter</t>
  </si>
  <si>
    <t>260</t>
  </si>
  <si>
    <t>Dual BCD Up Counter</t>
  </si>
  <si>
    <t>230</t>
  </si>
  <si>
    <t>24-Stage Frequency Divider</t>
  </si>
  <si>
    <t>Divider</t>
  </si>
  <si>
    <t>4500</t>
  </si>
  <si>
    <t>Presettable 4-Bit Down Counters</t>
  </si>
  <si>
    <t>450</t>
  </si>
  <si>
    <t>Dual Monostable Multivibrator</t>
  </si>
  <si>
    <t>Multivibrator</t>
  </si>
  <si>
    <t>Programmable Timer</t>
  </si>
  <si>
    <t>Timer</t>
  </si>
  <si>
    <t>6000</t>
  </si>
  <si>
    <t>Dual Precision Monostable Multivibrator</t>
  </si>
  <si>
    <t>300</t>
  </si>
  <si>
    <t>SOIC-16
SOIC-16W
TSSOP-16</t>
  </si>
  <si>
    <t>Programmable Timer Oscillator</t>
  </si>
  <si>
    <t>10000</t>
  </si>
  <si>
    <t>8</t>
  </si>
  <si>
    <t>SOIC-14
TSSOP-14</t>
  </si>
  <si>
    <t>Timer Circuit</t>
  </si>
  <si>
    <t>4.5</t>
  </si>
  <si>
    <t>16</t>
  </si>
  <si>
    <t>100</t>
  </si>
  <si>
    <t>0.625</t>
  </si>
  <si>
    <t>SOIC-8</t>
  </si>
  <si>
    <t>Programmable Divide-By-N Dual 4-Bit Binary/BCD Down Counter</t>
  </si>
  <si>
    <t>500</t>
  </si>
  <si>
    <t>4-Bit Magnitude Comparator</t>
  </si>
  <si>
    <t>Magnitude Comparator</t>
  </si>
  <si>
    <t>360</t>
  </si>
  <si>
    <t>Synchronous Presettable Binary Counter</t>
  </si>
  <si>
    <t>2</t>
  </si>
  <si>
    <t>6</t>
  </si>
  <si>
    <t>9.5</t>
  </si>
  <si>
    <t>0.35</t>
  </si>
  <si>
    <t>24</t>
  </si>
  <si>
    <t>12-Stage Binary Ripple Counter</t>
  </si>
  <si>
    <t>0.75</t>
  </si>
  <si>
    <t>5.5</t>
  </si>
  <si>
    <t>10.5</t>
  </si>
  <si>
    <t>11</t>
  </si>
  <si>
    <t>BCD Counter with Asynchronous Reset Mode</t>
  </si>
  <si>
    <t>22</t>
  </si>
  <si>
    <t>0.45
0.5</t>
  </si>
  <si>
    <t>25</t>
  </si>
  <si>
    <t>Presettable Counter</t>
  </si>
  <si>
    <t>5.2</t>
  </si>
  <si>
    <t>Dual 4-Stage Binary Ripple Counter with &amp;#247;2 and &amp;#247;5 Sections</t>
  </si>
  <si>
    <t>58</t>
  </si>
  <si>
    <t>SOIC-16
SOIC-20W
TSSOP-16</t>
  </si>
  <si>
    <t>Dual 4-Stage Binary Ripple Counter</t>
  </si>
  <si>
    <t>52</t>
  </si>
  <si>
    <t>14-Stage Binary Ripple Counter</t>
  </si>
  <si>
    <t>31</t>
  </si>
  <si>
    <t>14-Stage Binary Ripple Counter with Oscillator</t>
  </si>
  <si>
    <t>250</t>
  </si>
  <si>
    <t>35</t>
  </si>
  <si>
    <t>4</t>
  </si>
  <si>
    <t>AEC Qualified
PPAP Capable
Pb-free
Halide free</t>
  </si>
  <si>
    <t>125</t>
  </si>
  <si>
    <t>Funtion</t>
    <phoneticPr fontId="2" type="noConversion"/>
  </si>
  <si>
    <t>Channels</t>
  </si>
  <si>
    <t>Output</t>
  </si>
  <si>
    <t>Single Inverter</t>
  </si>
  <si>
    <t>ActiveNEW</t>
  </si>
  <si>
    <t>1</t>
  </si>
  <si>
    <t>CMOS</t>
  </si>
  <si>
    <t>7.5</t>
  </si>
  <si>
    <t>SC-74A
SC-88A / SC-70-5
SOT-953
TSOP-5 / SOT-23-5</t>
  </si>
  <si>
    <t xml:space="preserve">Single Non-Inverting Buffer, 3-State </t>
  </si>
  <si>
    <t>3-State</t>
  </si>
  <si>
    <t>Single Non-Inverting Buffer, 3-State</t>
  </si>
  <si>
    <t>Single Non-Inverting Buffer</t>
  </si>
  <si>
    <t>Pb-free
Halide free
PPAP Capable
AEC Qualified</t>
  </si>
  <si>
    <t>SC-74A
SC-88A / SC-70-5
TSOP-5 / SOT-23-5
UDFN-6</t>
  </si>
  <si>
    <t>Single Non-Inverting Buffer, TTL Level</t>
  </si>
  <si>
    <t>1.65</t>
  </si>
  <si>
    <t>SC-74A
SC-88A / SC-70-5
SOT-553
TSOP-5 / SOT-23-5
UDFN-6</t>
  </si>
  <si>
    <t>Non-Inverting Buffer with 3-STATE Output</t>
  </si>
  <si>
    <t>0.9</t>
  </si>
  <si>
    <t>3.6</t>
  </si>
  <si>
    <t>SC-88A / SC-70-5</t>
  </si>
  <si>
    <t>2.6</t>
  </si>
  <si>
    <t>SC-74A
SC-88A / SC-70-5
SOT-553
SOT-953
TSOP-5 / SOT-23-5
UDFN-6</t>
  </si>
  <si>
    <t>Dual Buffer</t>
  </si>
  <si>
    <t>SC-88-6 / SC-70-6 / SOT-363-6
TSOP-6
UDFN-6</t>
  </si>
  <si>
    <t>Dual Non-Inverting Buffer withSchmitt Trigger Input</t>
  </si>
  <si>
    <t>3-Input NAND Gate</t>
  </si>
  <si>
    <t/>
  </si>
  <si>
    <t>Product Preview</t>
  </si>
  <si>
    <t>Single</t>
  </si>
  <si>
    <t>2.4</t>
  </si>
  <si>
    <t>32</t>
  </si>
  <si>
    <t>TSOP-6</t>
  </si>
  <si>
    <t>Hex Inverter</t>
  </si>
  <si>
    <t>SOIC-14
TSSOP-14 WB</t>
  </si>
  <si>
    <t>Hex Inverter with Schmitt Trigger Input</t>
  </si>
  <si>
    <t>7</t>
  </si>
  <si>
    <t>Octal Buffer/Line Driver with 3-STATE Outputs</t>
  </si>
  <si>
    <t>SOIC-20W</t>
  </si>
  <si>
    <t>5</t>
  </si>
  <si>
    <t>SOIC-20W
TSSOP-20</t>
  </si>
  <si>
    <t>Low Voltage 16-Bit Buffer/Line Driver with 3.6V Tolerant Inputs and Outputs and 26 Ohm Series Resistor in Outputs</t>
  </si>
  <si>
    <t>TSSOP-48</t>
  </si>
  <si>
    <t>Low Voltage 1.8/2.5/3.3V 16-Bit Buffer</t>
  </si>
  <si>
    <t>Low Voltage Hex Inverter with 5 V Tolerant Inputs</t>
  </si>
  <si>
    <t>QFN-14
SOIC-14
SOP-14
TSSOP-14 WB</t>
  </si>
  <si>
    <t>Low Voltage Hex Inverter/Buffer with Open Drain Outputs</t>
  </si>
  <si>
    <t>3.7</t>
  </si>
  <si>
    <t>Low Voltage Hex Buffer with Open Drain Outputs</t>
  </si>
  <si>
    <t>QFN-14
SOP-14
TSSOP-14 WB</t>
  </si>
  <si>
    <t>Low Voltage Quad 2-Input AND Gate with 5V Tolerant Inputs</t>
  </si>
  <si>
    <t>Low Voltage Triple 3-Input AND Gate with 5V Tolerant Inputs</t>
  </si>
  <si>
    <t>QFN-14
SOIC-14
TSSOP-14 WB</t>
  </si>
  <si>
    <t>Low Voltage Quad Buffer with 5V Tolerant Inputs and Outputs</t>
  </si>
  <si>
    <t>Low Voltage Quad Buffer with 5V tolerant Inputs and Outputs</t>
  </si>
  <si>
    <t>Low Voltage Hex Inverter with 5V Tolerant Schmitt Trigger Inputs</t>
  </si>
  <si>
    <t>6.5</t>
  </si>
  <si>
    <t>Low Voltage 16-Bit Buffer/Line Driver with 26Ω Series Resistors in Outputs</t>
  </si>
  <si>
    <t>5.3</t>
  </si>
  <si>
    <t>12</t>
  </si>
  <si>
    <t>Low Voltage 16-Bit Inverting Buffer/Line Driver with 5V Tolerant Inputs/Outputs</t>
  </si>
  <si>
    <t>Low Voltage 16-Bit Buffer/Line Driver with 5V Tolerant Inputs and Outputs</t>
  </si>
  <si>
    <t>Low Voltage Buffer/Line Driver with 5V Tolerant Inputs and Outputs with 26 Ohm Series Resistors in the Outputs</t>
  </si>
  <si>
    <t>Pb-free</t>
  </si>
  <si>
    <t>TSSOP-20</t>
  </si>
  <si>
    <t>Low Voltage Octal Buffer/Line Driver with 5V Tolerant Inputs and Outputs</t>
  </si>
  <si>
    <t>SOIC-20W
SOP-20
TSSOP-20</t>
  </si>
  <si>
    <t>Low Voltage Buffer/Line Driver with 5V Tolerant Inputs and Outputs</t>
  </si>
  <si>
    <t>SOIC-20W
SOP-20
TSSOP-20
WQFN-20</t>
  </si>
  <si>
    <t>Low Voltage Quad 2-Input OR Gate with 5V Tolerant Inputs</t>
  </si>
  <si>
    <t>0.25</t>
  </si>
  <si>
    <t>Low Voltage Buffer/Line Driver with 5V Tolerant Inputs and Open Drain Outputs</t>
  </si>
  <si>
    <t>Low Voltage 16-Bit Buffer/Line Driver with Bushold and 26 Ohm Series Resistors in Outputs</t>
  </si>
  <si>
    <t>Low Voltage 16-Bit Buffer/Line Driver with Bushold</t>
  </si>
  <si>
    <t>2.7</t>
  </si>
  <si>
    <t>Low Voltage 16-Bit Buffer/Line Driver with 3-STATE Outputs and 25 Ohm Series Resistors in the Outputs</t>
  </si>
  <si>
    <t>Low Voltage Octal Buffer/Line Driver with 3-STATE Outputs</t>
  </si>
  <si>
    <t>4.4</t>
  </si>
  <si>
    <t>3.9</t>
  </si>
  <si>
    <t>64</t>
  </si>
  <si>
    <t>Low Voltage Quad Buffer with 3-STATE Outputs</t>
  </si>
  <si>
    <t>128</t>
  </si>
  <si>
    <t>Low Voltage Hex Inverter</t>
  </si>
  <si>
    <t>6.6</t>
  </si>
  <si>
    <t>6.9</t>
  </si>
  <si>
    <t>SOIC-14
SOP-14
TSSOP-14 WB</t>
  </si>
  <si>
    <t>Low Voltage Hex Inverter with Schmitt Trigger Input</t>
  </si>
  <si>
    <t>9.3</t>
  </si>
  <si>
    <t>7.2</t>
  </si>
  <si>
    <t>1.2</t>
  </si>
  <si>
    <t>3.3</t>
  </si>
  <si>
    <t>Low-Voltage 1.8/2.5/3.3 V 16-Bit Buffer With 3.6 V-Tolerant Inputs and Outputs (3-State, Non-Inverting)</t>
  </si>
  <si>
    <t>3.8</t>
  </si>
  <si>
    <t>Quad Buffer with 3-STATE Outputs</t>
  </si>
  <si>
    <t>Hex Schmitt Inverter</t>
  </si>
  <si>
    <t>3.5</t>
  </si>
  <si>
    <t>5.6</t>
  </si>
  <si>
    <t>SOP-20
TSSOP-20</t>
  </si>
  <si>
    <t>5.9</t>
  </si>
  <si>
    <t>5.4</t>
  </si>
  <si>
    <t>80</t>
  </si>
  <si>
    <t>65</t>
  </si>
  <si>
    <t>Hex Buffer</t>
  </si>
  <si>
    <t>Hex Non-inverting Buffer, 3-State</t>
  </si>
  <si>
    <t>6.2</t>
  </si>
  <si>
    <t>Hex Gate; 4 Inverters; 1 NOR; 1 NAND</t>
  </si>
  <si>
    <t>Hex Inverter Open-Drain</t>
  </si>
  <si>
    <t>Open Drain</t>
  </si>
  <si>
    <t>Quad Buffer with 3-State Outputs</t>
  </si>
  <si>
    <t>10</t>
  </si>
  <si>
    <t>Octal Buffer/Line Driver, 3-State</t>
  </si>
  <si>
    <t>Octal Buffer/Line Driver with 3-State Outputs</t>
  </si>
  <si>
    <t>Hex Inverter with Open-Drain Outputs</t>
  </si>
  <si>
    <t>8.5</t>
  </si>
  <si>
    <t>11.5</t>
  </si>
  <si>
    <t>19</t>
  </si>
  <si>
    <t>Hex Inverter with Open Drain Outputs</t>
  </si>
  <si>
    <t>15</t>
  </si>
  <si>
    <t>Quad Non-inverting Buffer, 3-State</t>
  </si>
  <si>
    <t>Single Inverter, Schmitt Trigger Input</t>
  </si>
  <si>
    <t>20</t>
  </si>
  <si>
    <t>SC-74A
SC-88A / SC-70-5
TSOP-5 / SOT-23-5</t>
  </si>
  <si>
    <t>Octal Inverting Buffer/Line Driver/Line Receiver, 3-State</t>
  </si>
  <si>
    <t>Octal 3-State Non-Inverting Buffer/Line Driver/Line Receiver</t>
  </si>
  <si>
    <t>Hex 3-State Non-inverting Buffer with Common Enables</t>
  </si>
  <si>
    <t>7.8</t>
  </si>
  <si>
    <t>Hex 3-State NonInverting Buffer with Separate 2-Bit and 4-Bit Sections</t>
  </si>
  <si>
    <t>Octal 3-State Inverting Buffer/Line Driver/Line Receiver</t>
  </si>
  <si>
    <t>Octal 3-State Non-inverting Buffer/Line Driver/Line Receiver</t>
  </si>
  <si>
    <t>Quad Non-inverting Buffer with LSTTL Compatible Inputs, 3-State</t>
  </si>
  <si>
    <t>Octal 3-State Noninverting Buffer/Line Driver/Line Receiver with LSTTL-Compatible Inputs</t>
  </si>
  <si>
    <t>23</t>
  </si>
  <si>
    <t>Octal 3-State Non-Inverting Buffer/Line Driver/Line Receiver, TTL Level</t>
  </si>
  <si>
    <t>26</t>
  </si>
  <si>
    <t>Hex buffer/line driver, 3-state, TTL</t>
  </si>
  <si>
    <t>Hex buffer/line driver, 3-state, inverting, TTL</t>
  </si>
  <si>
    <t>Octal 3-State Non-inverting Buffer/Line Driver/Line Receiver, TTL Level</t>
  </si>
  <si>
    <t>30</t>
  </si>
  <si>
    <t>Low Voltage CMOS Hex Inverter</t>
  </si>
  <si>
    <t>Low Voltage CMOS Hex Inverter with Open Drain Outputs and 5V-Tolerant I/Os</t>
  </si>
  <si>
    <t>Low Voltage CMOS Hex Buffer with Open Drain Outputs and 5V-Tolerant Inputs</t>
  </si>
  <si>
    <t>Low Voltage Quad Non-Inverting Buffer, 3-State</t>
  </si>
  <si>
    <t>Low Voltage 16-Bit CMOS Buffer</t>
  </si>
  <si>
    <t>Low Voltage Octal Inverting Buffer, 3-State</t>
  </si>
  <si>
    <t>Octal Buffer, Non-Inverting, Low Voltage, 3-State</t>
  </si>
  <si>
    <t>QFN-20
SOIC-20W
TSSOP-20</t>
  </si>
  <si>
    <t>Low Voltage CMOS Octal Buffer Flow Through Pinout</t>
  </si>
  <si>
    <t>Quad Bus Buffer, 3-State</t>
  </si>
  <si>
    <t>9.7</t>
  </si>
  <si>
    <t>Octal Inverting Bus Buffer, 3-State</t>
  </si>
  <si>
    <t>Octal Non-inverting Bus Buffer, 3-State</t>
  </si>
  <si>
    <t>10.6</t>
  </si>
  <si>
    <t>Octal Bus Buffer</t>
  </si>
  <si>
    <t>Pb-free
Halide free
AEC Qualified</t>
  </si>
  <si>
    <t>Pb-free
Halide free
PPAP Capable</t>
  </si>
  <si>
    <t>Single Inverter, Open Drain</t>
  </si>
  <si>
    <t>Single Non-Inverting Buffer, Open Drain</t>
  </si>
  <si>
    <t>Octal Inverting Bus Buffer/Line Driver, 3-State Output</t>
  </si>
  <si>
    <t>Quad Bus Buffer, 3-State, TTL Level</t>
  </si>
  <si>
    <t>Octal Inverting Buffer/Line Driver, 3-State Output</t>
  </si>
  <si>
    <t>8.8</t>
  </si>
  <si>
    <t>Octal Bus Buffer/Line Driver</t>
  </si>
  <si>
    <t>8.4</t>
  </si>
  <si>
    <t>Quad 2-Channel Multiplexer (Mux) with 3-State Outputs</t>
  </si>
  <si>
    <t>7.9</t>
  </si>
  <si>
    <t>Non-inverting Buffer / CMOS Logic Level Shifter with LSTTL-Compatible Inputs</t>
  </si>
  <si>
    <t>7.7</t>
  </si>
  <si>
    <t>Non-inverting Octal Bus Buffer/Line Driver/Line Receiver, TTL Level, 3-State</t>
  </si>
  <si>
    <t>SOIC-14
SOP-14
TSSOP-14
TSSOP-14 WB</t>
  </si>
  <si>
    <t>3-STATE Quad Buffers</t>
  </si>
  <si>
    <t>13</t>
  </si>
  <si>
    <t>SOIC-14
TSSOP-14
TSSOP-14 WB</t>
  </si>
  <si>
    <t>Inverting Octal 3-STATE Buffer</t>
  </si>
  <si>
    <t>Octal 3-STATE Buffer</t>
  </si>
  <si>
    <t>14</t>
  </si>
  <si>
    <t>Inverting Octal 3-STATE Buffers</t>
  </si>
  <si>
    <t>Octal 3-STATE Buffers</t>
  </si>
  <si>
    <t>4.8</t>
  </si>
  <si>
    <t>Hex Inverter (Open Drain)</t>
  </si>
  <si>
    <t>TinyLogic ULP Triple Inverter with Schmitt Trigger Input</t>
  </si>
  <si>
    <t>UQFN-8
US8</t>
  </si>
  <si>
    <t>TinyLogic ULP Triple Buffer</t>
  </si>
  <si>
    <t>TinyLogic UHS Inverter</t>
  </si>
  <si>
    <t>TinyLogic UHS Inverter with Schmitt Trigger Input</t>
  </si>
  <si>
    <t>TinyLogic UHS Triple Buffer with Schmitt Trigger Inputs</t>
  </si>
  <si>
    <t>TinyLogic UHS Triple Buffer</t>
  </si>
  <si>
    <t>TinyLogic HS Inverter</t>
  </si>
  <si>
    <t>SC-88A / SC-70-5
SIP-6
SOT-23-5</t>
  </si>
  <si>
    <t>TinyLogic HS Inverter with Schmitt Trigger Input</t>
  </si>
  <si>
    <t>SC-88A-5 / SC-70-5
SIP-6
SOT-23-5</t>
  </si>
  <si>
    <t>TinyLogic ULP Inverter</t>
  </si>
  <si>
    <t>SC-88A-5 / SC-70-5
SIP-6
UDFN-6</t>
  </si>
  <si>
    <t>TinyLogic ULP Inverter (Open Drain Output)</t>
  </si>
  <si>
    <t>SC-88A-5 / SC-70-5
SIP-6</t>
  </si>
  <si>
    <t>TinyLogic ULP Buffer with 3-STATE Output</t>
  </si>
  <si>
    <t>TinyLogic ULP Inverter with Schmitt Trigger Input</t>
  </si>
  <si>
    <t>TinyLogic ULP Single Buffer with Schmitt Trigger Input</t>
  </si>
  <si>
    <t>TinyLogic ULP Single Buffer</t>
  </si>
  <si>
    <t>TinyLogic ULP Unbuffered Inverter</t>
  </si>
  <si>
    <t>TinyLogic HST Inverter</t>
  </si>
  <si>
    <t>SC-74A
SC-88A / SC-70-5</t>
  </si>
  <si>
    <t>TinyLogic HS Unbuffered Inverter</t>
  </si>
  <si>
    <t>SC-74A
SC-88A / SC-70-5
SIP-6</t>
  </si>
  <si>
    <t>TinyLogic ULP-A Inverter</t>
  </si>
  <si>
    <t>1.5</t>
  </si>
  <si>
    <t>TinyLogic ULP-A Inverter (Open Drain Output)</t>
  </si>
  <si>
    <t>TinyLogic ULP-A Buffer with 3-STATE Output</t>
  </si>
  <si>
    <t>TinyLogic ULP-A Inverter with Schmitt Trigger Input</t>
  </si>
  <si>
    <t>TinyLogic ULP-A Single Buffer with Schmitt Trigger Input</t>
  </si>
  <si>
    <t>TinyLogic ULP-A Single Buffer</t>
  </si>
  <si>
    <t>TinyLogic Low-ICCT Inverter</t>
  </si>
  <si>
    <t>TinyLogic ULP-A Unbuffered Inverter</t>
  </si>
  <si>
    <t>SC-88A-5 / SC-70-5
SIP-6
SOT-23-5
UDFN-6</t>
  </si>
  <si>
    <t>TinyLogic UHS Inverter (Open Drain Output)</t>
  </si>
  <si>
    <t>1.9</t>
  </si>
  <si>
    <t>TinyLogic UHS Buffer with 3-STATE Output</t>
  </si>
  <si>
    <t>SC-88A / SC-70-5
SIP-6
SOT-23-5
UDFN-6</t>
  </si>
  <si>
    <t>Ultra High Speed Buffer</t>
  </si>
  <si>
    <t>WLCSP-4</t>
  </si>
  <si>
    <t>TinyLogic UHS Unbuffered Inverter</t>
  </si>
  <si>
    <t>TinyLogic ULP Inverter with Schmitt Trigger Inputs</t>
  </si>
  <si>
    <t>SC-88-6 / SC-70-6 / SOT-363-6
SIP-6</t>
  </si>
  <si>
    <t>TinyLogic ULP-A Dual Inverter</t>
  </si>
  <si>
    <t>TinyLogic ULP-A Dual Buffer (Open-Drain Output)</t>
  </si>
  <si>
    <t>TinyLogic ULP-A Dual Buffer with 3-STATE Output</t>
  </si>
  <si>
    <t>US8</t>
  </si>
  <si>
    <t>TinyLogic ULP-A Dual Inverter with Schmitt Trigger Input</t>
  </si>
  <si>
    <t>TinyLogic ULP-A Dual Buffer</t>
  </si>
  <si>
    <t>TinyLogic ULP-A Dual Buffer with Schmitt Trigger Input</t>
  </si>
  <si>
    <t>TinyLogic UHS Dual Inverter</t>
  </si>
  <si>
    <t>2.3</t>
  </si>
  <si>
    <t>SC-88-6 / SC-70-6 / SOT-363-6
SIP-6
UDFN-6</t>
  </si>
  <si>
    <t>TinyLogic UHS Dual Buffer (Open-Drain Outputs)</t>
  </si>
  <si>
    <t>1.4</t>
  </si>
  <si>
    <t>TinyLogic UHS Dual Inverter with Schmitt Trigger Inputs</t>
  </si>
  <si>
    <t>3.2</t>
  </si>
  <si>
    <t>TinyLogic UHS Dual Buffer</t>
  </si>
  <si>
    <t>TinyLogic UHS Dual Buffer with Schmitt Trigger Inputs</t>
  </si>
  <si>
    <t>TinyLogic UHS Dual Inverting Buffer with 3-STATE Outputs</t>
  </si>
  <si>
    <t>TinyLogic UHS Dual Buffer with 3-STATE Outputs</t>
  </si>
  <si>
    <t>TinyLogic UHS Dual Unbuffered Inverter</t>
  </si>
  <si>
    <t>1.8</t>
  </si>
  <si>
    <t>3.4</t>
  </si>
  <si>
    <t>AEC Qualified
Pb-free
Halide free</t>
  </si>
  <si>
    <t>4.6</t>
  </si>
  <si>
    <t>SC-88A / SC-70-5
SOT-953
UDFN-6</t>
  </si>
  <si>
    <t>Buffer with Open-Drain Output</t>
  </si>
  <si>
    <t>2.5</t>
  </si>
  <si>
    <t>Buffer with Open Drain Outputs, Low Voltage</t>
  </si>
  <si>
    <t>Bus Buffer with 3-State</t>
  </si>
  <si>
    <t>SC-88A / SC-70-5
SOT-953</t>
  </si>
  <si>
    <t>Bus Buffer with 3-State Output</t>
  </si>
  <si>
    <t>Schmitt Buffer</t>
  </si>
  <si>
    <t>AEC Qualified
Pb-free
Halide free
PPAP Capable</t>
  </si>
  <si>
    <t>Single Buffer</t>
  </si>
  <si>
    <t>Non-Inverting 3-State Buffer</t>
  </si>
  <si>
    <t>SOT-953</t>
  </si>
  <si>
    <t>Noninverting 3-State Buffer</t>
  </si>
  <si>
    <t>Single Schmitt-Trigger Buffer</t>
  </si>
  <si>
    <t>16.3</t>
  </si>
  <si>
    <t>Non-Iinverting 3-State Buffer</t>
  </si>
  <si>
    <t>50</t>
  </si>
  <si>
    <t>SOT-553</t>
  </si>
  <si>
    <t>Single Open Drain Inverter</t>
  </si>
  <si>
    <t>SC-74A
SOT-953</t>
  </si>
  <si>
    <t>SC-74A
SC-88A / SC-70-5
SOT-553</t>
  </si>
  <si>
    <t>SC-74A
SC-88A / SC-70-5
SOT-553
SOT-953</t>
  </si>
  <si>
    <t>Single Inverter with Schmitt Trigger Input</t>
  </si>
  <si>
    <t>4.3</t>
  </si>
  <si>
    <t>Single Non-Inverting Buffer with Schmitt Trigger Output</t>
  </si>
  <si>
    <t>NL17SZ240</t>
  </si>
  <si>
    <t xml:space="preserve">Unbuffered Single Inverter </t>
  </si>
  <si>
    <t>Dual Inverter</t>
  </si>
  <si>
    <t>SC-88-6 / SC-70-6 / SOT-363-6
TSOP-6</t>
  </si>
  <si>
    <t>Dual Inverter, Open Drain</t>
  </si>
  <si>
    <t>Dual Buffer, Open Drain</t>
  </si>
  <si>
    <t>Dual Buffer, 3-State Low Enable</t>
  </si>
  <si>
    <t>5.7</t>
  </si>
  <si>
    <t>Dual Buffer, 3-State High Enable</t>
  </si>
  <si>
    <t>Triple Inverter, Open Drain</t>
  </si>
  <si>
    <t>Triple Buffer, Open Drain</t>
  </si>
  <si>
    <t>Triple Buffer</t>
  </si>
  <si>
    <t>Triple Non-Inverting Buffer with Schmitt Trigger Inputs</t>
  </si>
  <si>
    <t>4.9</t>
  </si>
  <si>
    <t>Quad Bus Buffer with 3-state Control Inputs</t>
  </si>
  <si>
    <t>QFN-16</t>
  </si>
  <si>
    <t>PPAP Capable
Pb-free
Halide free</t>
  </si>
  <si>
    <t>UDFN-6</t>
  </si>
  <si>
    <t>8.6</t>
  </si>
  <si>
    <t>Single Non-Inverting Buffer, TTL-Level</t>
  </si>
  <si>
    <t>Single Non-Inverting Buffer with TTL-Compatible Inputs</t>
  </si>
  <si>
    <t>6.7</t>
  </si>
  <si>
    <t>Dual Inverter with Open Drain Output</t>
  </si>
  <si>
    <t>Dual Inverter with Schmitt Trigger Input</t>
  </si>
  <si>
    <t>Dual Buffer with Schmitt Trigger Output</t>
  </si>
  <si>
    <t>Unbuffered Dual Inverter</t>
  </si>
  <si>
    <t>Triple Non-Inverting Buffer</t>
  </si>
  <si>
    <t>ULLGA-8</t>
  </si>
  <si>
    <t>Dual Buffer with Open Drain Output</t>
  </si>
  <si>
    <t>Triple Inverter with Schmitt Trigger Input</t>
  </si>
  <si>
    <t>UDFN-8</t>
  </si>
  <si>
    <t>缓冲器</t>
    <phoneticPr fontId="2" type="noConversion"/>
  </si>
  <si>
    <t>总线收发器</t>
    <phoneticPr fontId="2" type="noConversion"/>
  </si>
  <si>
    <t>Octal Bidirectional Transceiver with 3-STATE Inputs/ Outputs</t>
  </si>
  <si>
    <t>总线收发器</t>
    <phoneticPr fontId="2" type="noConversion"/>
  </si>
  <si>
    <t>Low Voltage 1.8/2.5/3.3 V 16-Bit Transceiver</t>
  </si>
  <si>
    <t>Low Voltage 16-Bit Bidirectional Transceiver with 5V Tolerant Inputs and Outputs</t>
  </si>
  <si>
    <t>Low Voltage 18-Bit Universal Bus Transceivers with 5V Tolerant Inputs and Outputs</t>
  </si>
  <si>
    <t>TSSOP-56</t>
  </si>
  <si>
    <t>18-Bit Universal Bus Transceivers with 5VTolerant Inputs and Outputs</t>
  </si>
  <si>
    <t>Low Voltage 16-Bit Registered Transceiver with 5V-Tolerant Inputs and Outputs</t>
  </si>
  <si>
    <t>Low Voltage 16-Bit Transceiver/Register with 5V Tolerant Inputs and Outputs</t>
  </si>
  <si>
    <t>Low Voltage Bidirectional Transceiver with 5V Tolerant Inputs and Outputs</t>
  </si>
  <si>
    <t>Low Voltage Octal Registered Transceiver with 5V Tolerant Inputs and Outputs</t>
  </si>
  <si>
    <t>TSSOP-24</t>
  </si>
  <si>
    <t>Low Voltage Transceiver/Register with 5V Tolerant Inputs and Outputs</t>
  </si>
  <si>
    <t>Low Voltage 16-Bit Bidirectional Transceiver with Bushold</t>
  </si>
  <si>
    <t>Low Voltage Bidirectional Transceiver with Bushold</t>
  </si>
  <si>
    <t>Low Voltage 16-Bit Bidirectional Transceiver with 5V Tolerant Inputs/Outputs and Pull-Down Resistors</t>
  </si>
  <si>
    <t>Low Voltage 16-Bit Bidirectional Transceiver with 5V Tolerant Inputs/Outputs and 26 Ohm Series Resistors in the Outputs</t>
  </si>
  <si>
    <t>Low Voltage Bidirectional Transceiver with 5V Tolerant Inputs and Outputs and 26 Ohm Series Resistors on Both A and B Ports</t>
  </si>
  <si>
    <t>Low Voltage 16-Bit Transceiver with 3-STATE Outputs and 25 Ohm Series Resistors in A Port Outputs</t>
  </si>
  <si>
    <t>Low Voltage Octal Bidirectional Transceiver with 3-STATE Inputs/Outputs</t>
  </si>
  <si>
    <t>Low Voltage Octal Bidirectional Transceiver with 3-STATE Inputs/Outputs and 25 Ohm Series Resistors in the B Port Outputs</t>
  </si>
  <si>
    <t>Low Voltage IEEE 161284 Translating Transceiver</t>
  </si>
  <si>
    <t>17</t>
  </si>
  <si>
    <t>40</t>
  </si>
  <si>
    <t>84</t>
  </si>
  <si>
    <t>Low Voltage Octal Bidirectional Transceiver</t>
  </si>
  <si>
    <t>10.1</t>
  </si>
  <si>
    <t>8-Bit Dual Supply Configurable Voltage Interface Transceiver with 3-STATE Outputs</t>
  </si>
  <si>
    <t>QSOP-24
TSSOP-24</t>
  </si>
  <si>
    <t>Low-Voltage 1.8/2.5/3.3 V 16-Bit Transceiver</t>
  </si>
  <si>
    <t>Low Voltage Bidirectional Transceiver with 3.6V Tolerant Inputs and Outputs</t>
  </si>
  <si>
    <t>TSSOP-20
WQFN-20</t>
  </si>
  <si>
    <t>Octal Bidirectional Transceiver with 3-STATE Outputs</t>
  </si>
  <si>
    <t>总线收发器</t>
    <phoneticPr fontId="2" type="noConversion"/>
  </si>
  <si>
    <t>4-bit Bus Switch</t>
  </si>
  <si>
    <t>Octal Bidirectional Transceiver with 3-State Inputs/Outputs</t>
  </si>
  <si>
    <t>2
6</t>
  </si>
  <si>
    <t>Octal Bus Transceiver Register with 3-State Outputs (Non-inverting)</t>
  </si>
  <si>
    <t>SOIC?24 WB</t>
  </si>
  <si>
    <t>Octal 3-State Inverting Bus Transceiver</t>
  </si>
  <si>
    <t>Octal Bus Transceiver/Register with 3-State Outputs (Non-inverting)</t>
  </si>
  <si>
    <t>14.5</t>
  </si>
  <si>
    <t>Octal 3-State Non-Inverting Bus/Transceiver</t>
  </si>
  <si>
    <t>Octal 3-State Non-Inverting Bus Transceiver</t>
  </si>
  <si>
    <t>Low Voltage CMOS 16-Bit Transceiver</t>
  </si>
  <si>
    <t>Octal Transceiver, CMOS, Low Voltage</t>
  </si>
  <si>
    <t>3-State
CMOS</t>
  </si>
  <si>
    <t>Octal Bus Transceiver</t>
  </si>
  <si>
    <t>Dual Supply Octal Translating Transceiver</t>
  </si>
  <si>
    <t>总线收发器</t>
    <phoneticPr fontId="2" type="noConversion"/>
  </si>
  <si>
    <t>Configurable Dual Supply Octal Transceiver</t>
  </si>
  <si>
    <t>SOIC-24
TSSOP-24</t>
  </si>
  <si>
    <t>8.7</t>
  </si>
  <si>
    <t>Octal 3-STATE Transceiver</t>
  </si>
  <si>
    <r>
      <t>D</t>
    </r>
    <r>
      <rPr>
        <sz val="10"/>
        <rFont val="宋体"/>
        <charset val="134"/>
      </rPr>
      <t>触发器和</t>
    </r>
    <r>
      <rPr>
        <sz val="10"/>
        <rFont val="Arial"/>
        <family val="2"/>
      </rPr>
      <t>JK</t>
    </r>
    <r>
      <rPr>
        <sz val="10"/>
        <rFont val="宋体"/>
        <charset val="134"/>
      </rPr>
      <t>触发器</t>
    </r>
    <phoneticPr fontId="2" type="noConversion"/>
  </si>
  <si>
    <t>Single D Flip-Flop</t>
  </si>
  <si>
    <t>D-Type</t>
  </si>
  <si>
    <t>D-Type Flip-Flop with Asynchronous Clear</t>
  </si>
  <si>
    <r>
      <t>D</t>
    </r>
    <r>
      <rPr>
        <sz val="10"/>
        <rFont val="宋体"/>
        <charset val="134"/>
      </rPr>
      <t>触发器和</t>
    </r>
    <r>
      <rPr>
        <sz val="10"/>
        <rFont val="Arial"/>
        <family val="2"/>
      </rPr>
      <t>JK</t>
    </r>
    <r>
      <rPr>
        <sz val="10"/>
        <rFont val="宋体"/>
        <charset val="134"/>
      </rPr>
      <t>触发器</t>
    </r>
    <phoneticPr fontId="2" type="noConversion"/>
  </si>
  <si>
    <t>Low Voltage Dual J-K Negative Edge-Triggered Flip-Flop with 5V Tolerant Inputs</t>
  </si>
  <si>
    <t>Dual J-K negative edge-triggered</t>
  </si>
  <si>
    <t>Low Voltage 16-Bit D-Type Flip-Flop with 5V Tolerant Inputs and Outputs and 26 Ohm Series Resistor</t>
  </si>
  <si>
    <t>16 non-inverting D-type w/3-state outputs</t>
  </si>
  <si>
    <t>Low Voltage 16-Bit D-Type Flip-Flop with 5V Tolerant Inputs and Outputs</t>
  </si>
  <si>
    <t>Low Voltage Dual D-Type Positive Edge-Triggered Flip-Flop with 5V Tolerant Inputs</t>
  </si>
  <si>
    <t>Dual D-type positive edge-triggered</t>
  </si>
  <si>
    <t>Low Voltage 10-Bit D-Type Flip-Flop with 5V Tolerant Inputs and Outputs</t>
  </si>
  <si>
    <t>10-bit D-type</t>
  </si>
  <si>
    <t>Low Voltage 16-Bit D Flip-Flop with 3-STATE Outputs</t>
  </si>
  <si>
    <t>20 non-inverting D-type w/3-state outputs</t>
  </si>
  <si>
    <t>Low Voltage Octal D-Type Flip-Flop with 3-STATE Outputs</t>
  </si>
  <si>
    <t>Octal D-type w/3-state outputs</t>
  </si>
  <si>
    <t>Low Voltage Octal Transparent Latch with 3-STATE Outputs</t>
  </si>
  <si>
    <t>8 latches w/3-state outputs</t>
  </si>
  <si>
    <t>4.1</t>
  </si>
  <si>
    <t>Low Voltage Octal D-Type Flip-Flop</t>
  </si>
  <si>
    <t>Octal D-type</t>
  </si>
  <si>
    <t>Low Voltage Dual D-Type Positive Edge-Triggered Flip-Flop</t>
  </si>
  <si>
    <t>8.2
14.1</t>
  </si>
  <si>
    <t>Low-Voltage 1.8/2.5/3.3 V 16-Bit D-Type Flip-Flop</t>
  </si>
  <si>
    <t>Set/Reset</t>
  </si>
  <si>
    <t>Dual J-K Flip-Flops with Preset and Clear</t>
  </si>
  <si>
    <t>Dual J-K</t>
  </si>
  <si>
    <t>Quad D-Type Flip-Flop</t>
  </si>
  <si>
    <t>Quad D-type</t>
  </si>
  <si>
    <t>6.3</t>
  </si>
  <si>
    <t>SOIC-16
SOP-16
TSSOP-16</t>
  </si>
  <si>
    <t>Octal D-Type Flip-Flop</t>
  </si>
  <si>
    <t>Octal D-Type Flip-Flop with 3-STATE Outputs</t>
  </si>
  <si>
    <t>Dual D-Type Flip-Flop with Preset and Clear</t>
  </si>
  <si>
    <t>Dual D-type w/preset and clear</t>
  </si>
  <si>
    <t>10.4</t>
  </si>
  <si>
    <t>Dual D Flip-Flop</t>
  </si>
  <si>
    <t>150</t>
  </si>
  <si>
    <t>Dual JK Flip Flop</t>
  </si>
  <si>
    <t>JK-Type</t>
  </si>
  <si>
    <t>Hex D-Type Flip-Flop</t>
  </si>
  <si>
    <t>160</t>
  </si>
  <si>
    <t>Octal D  Flip-Flop</t>
  </si>
  <si>
    <t>Octal D Flip-Flop with 3-State Outputs</t>
  </si>
  <si>
    <t>Octal D Flip-Flop with Clock Enable</t>
  </si>
  <si>
    <t>Dual D Flip-Flop Positive Edge Trigger</t>
  </si>
  <si>
    <t>Octal D Flip-Flop</t>
  </si>
  <si>
    <t>Dual D-Type Positive Edge-Triggered Flip-Flop</t>
  </si>
  <si>
    <t>Dual JK Flip-Flop with Set and Reset</t>
  </si>
  <si>
    <t>21</t>
  </si>
  <si>
    <t>Hex D Flip-Flop with Clock</t>
  </si>
  <si>
    <t>Quad D Flip-Flop with Common Clock and Reset</t>
  </si>
  <si>
    <t>29</t>
  </si>
  <si>
    <t>Octal D-Type Flip-Flop with Common Clock and Enable</t>
  </si>
  <si>
    <t>27</t>
  </si>
  <si>
    <t>Octal 3-State Non-inverting D Flip-Flop</t>
  </si>
  <si>
    <t>Dual JK Flip Flop with Reset</t>
  </si>
  <si>
    <t>Dual D Flip-Flop with Set and Reset</t>
  </si>
  <si>
    <t>4.5
5.5</t>
  </si>
  <si>
    <t>Low Voltage CMOS 16-Bit D Flip-Flop</t>
  </si>
  <si>
    <t>Low Voltage CMOS Octal D Flip-Flop</t>
  </si>
  <si>
    <t>Low Voltage CMOS Octal D Flip-Flop Flow Through Pinout</t>
  </si>
  <si>
    <t>3.6
24</t>
  </si>
  <si>
    <t>Low Voltage CMOS Dual D Flip-Flop</t>
  </si>
  <si>
    <t>14.1</t>
  </si>
  <si>
    <t>16.7</t>
  </si>
  <si>
    <t>13.6</t>
  </si>
  <si>
    <t>Quad D-Type Flip-Flop with Clear</t>
  </si>
  <si>
    <t>Quad D-type w/clear</t>
  </si>
  <si>
    <t>Octal D-Type Flip-Flop with Clear</t>
  </si>
  <si>
    <t>Octal D-type w/clear</t>
  </si>
  <si>
    <t>3-STATE Octal D-Type Flip-Flop</t>
  </si>
  <si>
    <t>3-state octal</t>
  </si>
  <si>
    <t>3-STATE Octal D-Type Edge-Triggered Flip-Flop</t>
  </si>
  <si>
    <t>3-state octal D-type edge Triggered</t>
  </si>
  <si>
    <t>Octal D Flip-Flop with Clear</t>
  </si>
  <si>
    <t>37</t>
  </si>
  <si>
    <t>3-state octal D-type</t>
  </si>
  <si>
    <t>Dual D Flip-Flop with Preset and Clear</t>
  </si>
  <si>
    <t>TinyLogic ULP D-Type Flip-Flop with Preset and Clear</t>
  </si>
  <si>
    <t>Single D-type CMOS</t>
  </si>
  <si>
    <t>TinyLogic ULP-A D-Type Flip-Flop with Preset and Clear</t>
  </si>
  <si>
    <t>2.8</t>
  </si>
  <si>
    <t>TinyLogic UHS D-Type Flip-Flop with Asynchronous Clear</t>
  </si>
  <si>
    <t>D-type w/asynchoronous clear</t>
  </si>
  <si>
    <t>TinyLogic UHS D-Type Flip-Flop with 3-STATE Output</t>
  </si>
  <si>
    <t>D-type w/3-state output</t>
  </si>
  <si>
    <t>TinyLogic UHS D-Type Flip-Flop with Preset and Clear</t>
  </si>
  <si>
    <t>Hex D Flip-Flop with Common Clock and Reset</t>
  </si>
  <si>
    <t>UQFN-8</t>
  </si>
  <si>
    <t>算数逻辑器件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</si>
</sst>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  <font>
      <b/>
      <sz val="10"/>
      <color indexed="9"/>
      <name val="Arial"/>
      <family val="2"/>
    </font>
    <font>
      <sz val="10"/>
      <name val="宋体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0" fontId="3" fillId="2" borderId="0" xfId="0" applyFont="1" applyFill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0"/>
  <sheetViews>
    <sheetView tabSelected="1" workbookViewId="0">
      <pane ySplit="1" topLeftCell="A2" activePane="bottomLeft" state="frozen"/>
      <selection pane="bottomLeft" sqref="A1:A65536"/>
    </sheetView>
  </sheetViews>
  <sheetFormatPr defaultRowHeight="12.75"/>
  <cols>
    <col min="1" max="15" width="18" customWidth="1"/>
  </cols>
  <sheetData>
    <row r="1" spans="1:15">
      <c r="A1" s="3" t="s">
        <v>111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3" t="s">
        <v>112</v>
      </c>
      <c r="I1" s="3" t="s">
        <v>113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</row>
    <row r="2" spans="1:15" ht="51">
      <c r="A2" s="4" t="s">
        <v>561</v>
      </c>
      <c r="B2" t="str">
        <f>HYPERLINK("https://www.onsemi.com/PowerSolutions/product.do?id=MC14007UB","MC14007UB")</f>
        <v>MC14007UB</v>
      </c>
      <c r="C2" t="str">
        <f>HYPERLINK("https://www.onsemi.com/pub/Collateral/MC14007UB-D.PDF","MC14007UB/D (115kB)")</f>
        <v>MC14007UB/D (115kB)</v>
      </c>
      <c r="D2" t="s">
        <v>12</v>
      </c>
      <c r="E2" s="2" t="s">
        <v>13</v>
      </c>
      <c r="F2" t="s">
        <v>14</v>
      </c>
      <c r="G2" s="2" t="s">
        <v>15</v>
      </c>
      <c r="H2" s="2"/>
      <c r="I2" s="2"/>
      <c r="J2" s="2" t="s">
        <v>16</v>
      </c>
      <c r="K2" s="2" t="s">
        <v>17</v>
      </c>
      <c r="L2" s="2" t="s">
        <v>18</v>
      </c>
      <c r="M2" s="2" t="s">
        <v>19</v>
      </c>
      <c r="N2" s="2" t="s">
        <v>20</v>
      </c>
      <c r="O2" s="2" t="s">
        <v>21</v>
      </c>
    </row>
    <row r="3" spans="1:15" ht="25.5">
      <c r="A3" s="4" t="s">
        <v>561</v>
      </c>
      <c r="B3" t="str">
        <f>HYPERLINK("https://www.onsemi.com/PowerSolutions/product.do?id=MC14008B","MC14008B")</f>
        <v>MC14008B</v>
      </c>
      <c r="C3" t="str">
        <f>HYPERLINK("https://www.onsemi.com/pub/Collateral/MC14008B-D.PDF","MC14008B/D (103kB)")</f>
        <v>MC14008B/D (103kB)</v>
      </c>
      <c r="D3" t="s">
        <v>22</v>
      </c>
      <c r="E3" s="2" t="s">
        <v>23</v>
      </c>
      <c r="F3" t="s">
        <v>14</v>
      </c>
      <c r="G3" s="2" t="s">
        <v>24</v>
      </c>
      <c r="H3" s="2"/>
      <c r="I3" s="2"/>
      <c r="J3" s="2" t="s">
        <v>16</v>
      </c>
      <c r="K3" s="2" t="s">
        <v>17</v>
      </c>
      <c r="L3" s="2" t="s">
        <v>25</v>
      </c>
      <c r="M3" s="2" t="s">
        <v>19</v>
      </c>
      <c r="N3" s="2" t="s">
        <v>26</v>
      </c>
      <c r="O3" s="2" t="s">
        <v>27</v>
      </c>
    </row>
    <row r="4" spans="1:15" ht="51">
      <c r="A4" s="4" t="s">
        <v>561</v>
      </c>
      <c r="B4" t="str">
        <f>HYPERLINK("https://www.onsemi.com/PowerSolutions/product.do?id=MC14017B","MC14017B")</f>
        <v>MC14017B</v>
      </c>
      <c r="C4" t="str">
        <f>HYPERLINK("https://www.onsemi.com/pub/Collateral/MC14017B-D.PDF","MC14017B/D (111kB)")</f>
        <v>MC14017B/D (111kB)</v>
      </c>
      <c r="D4" t="s">
        <v>28</v>
      </c>
      <c r="E4" s="2" t="s">
        <v>13</v>
      </c>
      <c r="F4" t="s">
        <v>14</v>
      </c>
      <c r="G4" s="2" t="s">
        <v>29</v>
      </c>
      <c r="H4" s="2"/>
      <c r="I4" s="2"/>
      <c r="J4" s="2" t="s">
        <v>16</v>
      </c>
      <c r="K4" s="2" t="s">
        <v>17</v>
      </c>
      <c r="L4" s="2" t="s">
        <v>30</v>
      </c>
      <c r="M4" s="2" t="s">
        <v>19</v>
      </c>
      <c r="N4" s="2" t="s">
        <v>26</v>
      </c>
      <c r="O4" s="2" t="s">
        <v>27</v>
      </c>
    </row>
    <row r="5" spans="1:15" ht="51">
      <c r="A5" s="4" t="s">
        <v>561</v>
      </c>
      <c r="B5" t="str">
        <f>HYPERLINK("https://www.onsemi.com/PowerSolutions/product.do?id=MC14018B","MC14018B")</f>
        <v>MC14018B</v>
      </c>
      <c r="C5" t="str">
        <f>HYPERLINK("https://www.onsemi.com/pub/Collateral/MC14018B-D.PDF","MC14018B/D (97kB)")</f>
        <v>MC14018B/D (97kB)</v>
      </c>
      <c r="D5" t="s">
        <v>31</v>
      </c>
      <c r="E5" s="2" t="s">
        <v>13</v>
      </c>
      <c r="F5" t="s">
        <v>14</v>
      </c>
      <c r="G5" s="2" t="s">
        <v>29</v>
      </c>
      <c r="H5" s="2"/>
      <c r="I5" s="2"/>
      <c r="J5" s="2" t="s">
        <v>16</v>
      </c>
      <c r="K5" s="2" t="s">
        <v>17</v>
      </c>
      <c r="L5" s="2" t="s">
        <v>32</v>
      </c>
      <c r="M5" s="2" t="s">
        <v>19</v>
      </c>
      <c r="N5" s="2" t="s">
        <v>26</v>
      </c>
      <c r="O5" s="2" t="s">
        <v>27</v>
      </c>
    </row>
    <row r="6" spans="1:15" ht="51">
      <c r="A6" s="4" t="s">
        <v>561</v>
      </c>
      <c r="B6" t="str">
        <f>HYPERLINK("https://www.onsemi.com/PowerSolutions/product.do?id=MC14020B","MC14020B")</f>
        <v>MC14020B</v>
      </c>
      <c r="C6" t="str">
        <f>HYPERLINK("https://www.onsemi.com/pub/Collateral/MC14020B-D.PDF","MC14020B/D (109kB)")</f>
        <v>MC14020B/D (109kB)</v>
      </c>
      <c r="D6" t="s">
        <v>33</v>
      </c>
      <c r="E6" s="2" t="s">
        <v>13</v>
      </c>
      <c r="F6" t="s">
        <v>14</v>
      </c>
      <c r="G6" s="2" t="s">
        <v>29</v>
      </c>
      <c r="H6" s="2"/>
      <c r="I6" s="2"/>
      <c r="J6" s="2" t="s">
        <v>16</v>
      </c>
      <c r="K6" s="2" t="s">
        <v>17</v>
      </c>
      <c r="L6" s="2" t="s">
        <v>34</v>
      </c>
      <c r="M6" s="2" t="s">
        <v>19</v>
      </c>
      <c r="N6" s="2" t="s">
        <v>26</v>
      </c>
      <c r="O6" s="2" t="s">
        <v>27</v>
      </c>
    </row>
    <row r="7" spans="1:15" ht="51">
      <c r="A7" s="4" t="s">
        <v>561</v>
      </c>
      <c r="B7" t="str">
        <f>HYPERLINK("https://www.onsemi.com/PowerSolutions/product.do?id=MC14022B","MC14022B")</f>
        <v>MC14022B</v>
      </c>
      <c r="C7" t="str">
        <f>HYPERLINK("https://www.onsemi.com/pub/Collateral/MC14022B-D.PDF","MC14022B/D (109kB)")</f>
        <v>MC14022B/D (109kB)</v>
      </c>
      <c r="D7" t="s">
        <v>35</v>
      </c>
      <c r="E7" s="2" t="s">
        <v>13</v>
      </c>
      <c r="F7" t="s">
        <v>14</v>
      </c>
      <c r="G7" s="2" t="s">
        <v>29</v>
      </c>
      <c r="H7" s="2"/>
      <c r="I7" s="2"/>
      <c r="J7" s="2" t="s">
        <v>16</v>
      </c>
      <c r="K7" s="2" t="s">
        <v>17</v>
      </c>
      <c r="L7" s="2" t="s">
        <v>30</v>
      </c>
      <c r="M7" s="2" t="s">
        <v>19</v>
      </c>
      <c r="N7" s="2" t="s">
        <v>26</v>
      </c>
      <c r="O7" s="2" t="s">
        <v>27</v>
      </c>
    </row>
    <row r="8" spans="1:15" ht="51">
      <c r="A8" s="4" t="s">
        <v>561</v>
      </c>
      <c r="B8" t="str">
        <f>HYPERLINK("https://www.onsemi.com/PowerSolutions/product.do?id=MC14024B","MC14024B")</f>
        <v>MC14024B</v>
      </c>
      <c r="C8" t="str">
        <f>HYPERLINK("https://www.onsemi.com/pub/Collateral/MC14024B-D.PDF","MC14024B/D (98kB)")</f>
        <v>MC14024B/D (98kB)</v>
      </c>
      <c r="D8" t="s">
        <v>36</v>
      </c>
      <c r="E8" s="2" t="s">
        <v>13</v>
      </c>
      <c r="F8" t="s">
        <v>14</v>
      </c>
      <c r="G8" s="2" t="s">
        <v>29</v>
      </c>
      <c r="H8" s="2"/>
      <c r="I8" s="2"/>
      <c r="J8" s="2" t="s">
        <v>16</v>
      </c>
      <c r="K8" s="2" t="s">
        <v>17</v>
      </c>
      <c r="L8" s="2" t="s">
        <v>37</v>
      </c>
      <c r="M8" s="2" t="s">
        <v>19</v>
      </c>
      <c r="N8" s="2" t="s">
        <v>26</v>
      </c>
      <c r="O8" s="2" t="s">
        <v>21</v>
      </c>
    </row>
    <row r="9" spans="1:15" ht="51">
      <c r="A9" s="4" t="s">
        <v>561</v>
      </c>
      <c r="B9" t="str">
        <f>HYPERLINK("https://www.onsemi.com/PowerSolutions/product.do?id=MC14029B","MC14029B")</f>
        <v>MC14029B</v>
      </c>
      <c r="C9" t="str">
        <f>HYPERLINK("https://www.onsemi.com/pub/Collateral/MC14029B-D.PDF","MC14029B/D (87kB)")</f>
        <v>MC14029B/D (87kB)</v>
      </c>
      <c r="D9" t="s">
        <v>38</v>
      </c>
      <c r="E9" s="2" t="s">
        <v>13</v>
      </c>
      <c r="F9" t="s">
        <v>14</v>
      </c>
      <c r="G9" s="2" t="s">
        <v>29</v>
      </c>
      <c r="H9" s="2"/>
      <c r="I9" s="2"/>
      <c r="J9" s="2" t="s">
        <v>16</v>
      </c>
      <c r="K9" s="2" t="s">
        <v>17</v>
      </c>
      <c r="L9" s="2" t="s">
        <v>39</v>
      </c>
      <c r="M9" s="2" t="s">
        <v>19</v>
      </c>
      <c r="N9" s="2" t="s">
        <v>26</v>
      </c>
      <c r="O9" s="2" t="s">
        <v>27</v>
      </c>
    </row>
    <row r="10" spans="1:15" ht="51">
      <c r="A10" s="4" t="s">
        <v>561</v>
      </c>
      <c r="B10" t="str">
        <f>HYPERLINK("https://www.onsemi.com/PowerSolutions/product.do?id=MC14040B","MC14040B")</f>
        <v>MC14040B</v>
      </c>
      <c r="C10" t="str">
        <f>HYPERLINK("https://www.onsemi.com/pub/Collateral/MC14040B-D.PDF","MC14040B/D (123kB)")</f>
        <v>MC14040B/D (123kB)</v>
      </c>
      <c r="D10" t="s">
        <v>40</v>
      </c>
      <c r="E10" s="2" t="s">
        <v>13</v>
      </c>
      <c r="F10" t="s">
        <v>14</v>
      </c>
      <c r="G10" s="2" t="s">
        <v>29</v>
      </c>
      <c r="H10" s="2"/>
      <c r="I10" s="2"/>
      <c r="J10" s="2" t="s">
        <v>16</v>
      </c>
      <c r="K10" s="2" t="s">
        <v>17</v>
      </c>
      <c r="L10" s="2" t="s">
        <v>41</v>
      </c>
      <c r="M10" s="2" t="s">
        <v>19</v>
      </c>
      <c r="N10" s="2" t="s">
        <v>26</v>
      </c>
      <c r="O10" s="2" t="s">
        <v>42</v>
      </c>
    </row>
    <row r="11" spans="1:15" ht="51">
      <c r="A11" s="4" t="s">
        <v>561</v>
      </c>
      <c r="B11" t="str">
        <f>HYPERLINK("https://www.onsemi.com/PowerSolutions/product.do?id=MC14060B","MC14060B")</f>
        <v>MC14060B</v>
      </c>
      <c r="C11" t="str">
        <f>HYPERLINK("https://www.onsemi.com/pub/Collateral/MC14060B-D.PDF","MC14060B/D (139kB)")</f>
        <v>MC14060B/D (139kB)</v>
      </c>
      <c r="D11" t="s">
        <v>43</v>
      </c>
      <c r="E11" s="2" t="s">
        <v>13</v>
      </c>
      <c r="F11" t="s">
        <v>14</v>
      </c>
      <c r="G11" s="2" t="s">
        <v>29</v>
      </c>
      <c r="H11" s="2"/>
      <c r="I11" s="2"/>
      <c r="J11" s="2" t="s">
        <v>16</v>
      </c>
      <c r="K11" s="2" t="s">
        <v>17</v>
      </c>
      <c r="L11" s="2" t="s">
        <v>44</v>
      </c>
      <c r="M11" s="2" t="s">
        <v>19</v>
      </c>
      <c r="N11" s="2" t="s">
        <v>26</v>
      </c>
      <c r="O11" s="2" t="s">
        <v>42</v>
      </c>
    </row>
    <row r="12" spans="1:15" ht="51">
      <c r="A12" s="4" t="s">
        <v>561</v>
      </c>
      <c r="B12" t="str">
        <f>HYPERLINK("https://www.onsemi.com/PowerSolutions/product.do?id=MC14490","MC14490")</f>
        <v>MC14490</v>
      </c>
      <c r="C12" t="str">
        <f>HYPERLINK("https://www.onsemi.com/pub/Collateral/MC14490-D.PDF","MC14490/D (161.0kB)")</f>
        <v>MC14490/D (161.0kB)</v>
      </c>
      <c r="D12" t="s">
        <v>45</v>
      </c>
      <c r="E12" s="2" t="s">
        <v>13</v>
      </c>
      <c r="F12" t="s">
        <v>14</v>
      </c>
      <c r="G12" s="2" t="s">
        <v>46</v>
      </c>
      <c r="H12" s="2"/>
      <c r="I12" s="2"/>
      <c r="J12" s="2" t="s">
        <v>16</v>
      </c>
      <c r="K12" s="2" t="s">
        <v>17</v>
      </c>
      <c r="L12" s="2" t="s">
        <v>25</v>
      </c>
      <c r="M12" s="2" t="s">
        <v>19</v>
      </c>
      <c r="N12" s="2" t="s">
        <v>47</v>
      </c>
      <c r="O12" s="2" t="s">
        <v>48</v>
      </c>
    </row>
    <row r="13" spans="1:15" ht="51">
      <c r="A13" s="4" t="s">
        <v>561</v>
      </c>
      <c r="B13" t="str">
        <f>HYPERLINK("https://www.onsemi.com/PowerSolutions/product.do?id=MC14516B","MC14516B")</f>
        <v>MC14516B</v>
      </c>
      <c r="C13" t="str">
        <f>HYPERLINK("https://www.onsemi.com/pub/Collateral/MC14516B-D.PDF","MC14516B/D (96kB)")</f>
        <v>MC14516B/D (96kB)</v>
      </c>
      <c r="D13" t="s">
        <v>49</v>
      </c>
      <c r="E13" s="2" t="s">
        <v>13</v>
      </c>
      <c r="F13" t="s">
        <v>14</v>
      </c>
      <c r="G13" s="2" t="s">
        <v>29</v>
      </c>
      <c r="H13" s="2"/>
      <c r="I13" s="2"/>
      <c r="J13" s="2" t="s">
        <v>16</v>
      </c>
      <c r="K13" s="2" t="s">
        <v>17</v>
      </c>
      <c r="L13" s="2" t="s">
        <v>50</v>
      </c>
      <c r="M13" s="2" t="s">
        <v>19</v>
      </c>
      <c r="N13" s="2" t="s">
        <v>26</v>
      </c>
      <c r="O13" s="2" t="s">
        <v>27</v>
      </c>
    </row>
    <row r="14" spans="1:15" ht="25.5">
      <c r="A14" s="4" t="s">
        <v>561</v>
      </c>
      <c r="B14" t="str">
        <f>HYPERLINK("https://www.onsemi.com/PowerSolutions/product.do?id=MC14518B","MC14518B")</f>
        <v>MC14518B</v>
      </c>
      <c r="C14" t="str">
        <f>HYPERLINK("https://www.onsemi.com/pub/Collateral/MC14518B-D.PDF","MC14518B/D (101kB)")</f>
        <v>MC14518B/D (101kB)</v>
      </c>
      <c r="D14" t="s">
        <v>51</v>
      </c>
      <c r="E14" s="2" t="s">
        <v>23</v>
      </c>
      <c r="F14" t="s">
        <v>14</v>
      </c>
      <c r="G14" s="2" t="s">
        <v>29</v>
      </c>
      <c r="H14" s="2"/>
      <c r="I14" s="2"/>
      <c r="J14" s="2" t="s">
        <v>16</v>
      </c>
      <c r="K14" s="2" t="s">
        <v>17</v>
      </c>
      <c r="L14" s="2" t="s">
        <v>52</v>
      </c>
      <c r="M14" s="2" t="s">
        <v>19</v>
      </c>
      <c r="N14" s="2" t="s">
        <v>26</v>
      </c>
      <c r="O14" s="2" t="s">
        <v>48</v>
      </c>
    </row>
    <row r="15" spans="1:15" ht="25.5">
      <c r="A15" s="4" t="s">
        <v>561</v>
      </c>
      <c r="B15" t="str">
        <f>HYPERLINK("https://www.onsemi.com/PowerSolutions/product.do?id=MC14520B","MC14520B")</f>
        <v>MC14520B</v>
      </c>
      <c r="C15" t="str">
        <f>HYPERLINK("https://www.onsemi.com/pub/Collateral/MC14518B-D.PDF","MC14518B/D (101kB)")</f>
        <v>MC14518B/D (101kB)</v>
      </c>
      <c r="D15" t="s">
        <v>51</v>
      </c>
      <c r="E15" s="2" t="s">
        <v>23</v>
      </c>
      <c r="F15" t="s">
        <v>14</v>
      </c>
      <c r="G15" s="2" t="s">
        <v>29</v>
      </c>
      <c r="H15" s="2"/>
      <c r="I15" s="2"/>
      <c r="J15" s="2" t="s">
        <v>16</v>
      </c>
      <c r="K15" s="2" t="s">
        <v>17</v>
      </c>
      <c r="L15" s="2" t="s">
        <v>52</v>
      </c>
      <c r="M15" s="2" t="s">
        <v>19</v>
      </c>
      <c r="N15" s="2" t="s">
        <v>26</v>
      </c>
      <c r="O15" s="2" t="s">
        <v>48</v>
      </c>
    </row>
    <row r="16" spans="1:15" ht="51">
      <c r="A16" s="4" t="s">
        <v>561</v>
      </c>
      <c r="B16" t="str">
        <f>HYPERLINK("https://www.onsemi.com/PowerSolutions/product.do?id=MC14521B","MC14521B")</f>
        <v>MC14521B</v>
      </c>
      <c r="C16" t="str">
        <f>HYPERLINK("https://www.onsemi.com/pub/Collateral/MC14521B-D.PDF","MC14521B/D (123kB)")</f>
        <v>MC14521B/D (123kB)</v>
      </c>
      <c r="D16" t="s">
        <v>53</v>
      </c>
      <c r="E16" s="2" t="s">
        <v>13</v>
      </c>
      <c r="F16" t="s">
        <v>14</v>
      </c>
      <c r="G16" s="2" t="s">
        <v>54</v>
      </c>
      <c r="H16" s="2"/>
      <c r="I16" s="2"/>
      <c r="J16" s="2" t="s">
        <v>16</v>
      </c>
      <c r="K16" s="2" t="s">
        <v>17</v>
      </c>
      <c r="L16" s="2" t="s">
        <v>55</v>
      </c>
      <c r="M16" s="2" t="s">
        <v>19</v>
      </c>
      <c r="N16" s="2" t="s">
        <v>26</v>
      </c>
      <c r="O16" s="2" t="s">
        <v>27</v>
      </c>
    </row>
    <row r="17" spans="1:15" ht="25.5">
      <c r="A17" s="4" t="s">
        <v>561</v>
      </c>
      <c r="B17" t="str">
        <f>HYPERLINK("https://www.onsemi.com/PowerSolutions/product.do?id=MC14526B","MC14526B")</f>
        <v>MC14526B</v>
      </c>
      <c r="C17" t="str">
        <f>HYPERLINK("https://www.onsemi.com/pub/Collateral/MC14526B-D.PDF","MC14526B/D (119kB)")</f>
        <v>MC14526B/D (119kB)</v>
      </c>
      <c r="D17" t="s">
        <v>56</v>
      </c>
      <c r="E17" s="2" t="s">
        <v>23</v>
      </c>
      <c r="F17" t="s">
        <v>14</v>
      </c>
      <c r="G17" s="2" t="s">
        <v>29</v>
      </c>
      <c r="H17" s="2"/>
      <c r="I17" s="2"/>
      <c r="J17" s="2" t="s">
        <v>16</v>
      </c>
      <c r="K17" s="2" t="s">
        <v>17</v>
      </c>
      <c r="L17" s="2" t="s">
        <v>57</v>
      </c>
      <c r="M17" s="2" t="s">
        <v>19</v>
      </c>
      <c r="N17" s="2" t="s">
        <v>26</v>
      </c>
      <c r="O17" s="2" t="s">
        <v>48</v>
      </c>
    </row>
    <row r="18" spans="1:15" ht="51">
      <c r="A18" s="4" t="s">
        <v>561</v>
      </c>
      <c r="B18" t="str">
        <f>HYPERLINK("https://www.onsemi.com/PowerSolutions/product.do?id=MC14528B","MC14528B")</f>
        <v>MC14528B</v>
      </c>
      <c r="C18" t="str">
        <f>HYPERLINK("https://www.onsemi.com/pub/Collateral/MC14528B-D.PDF","MC14528B/D (123kB)")</f>
        <v>MC14528B/D (123kB)</v>
      </c>
      <c r="D18" t="s">
        <v>58</v>
      </c>
      <c r="E18" s="2" t="s">
        <v>13</v>
      </c>
      <c r="F18" t="s">
        <v>14</v>
      </c>
      <c r="G18" s="2" t="s">
        <v>59</v>
      </c>
      <c r="H18" s="2"/>
      <c r="I18" s="2"/>
      <c r="J18" s="2" t="s">
        <v>16</v>
      </c>
      <c r="K18" s="2" t="s">
        <v>17</v>
      </c>
      <c r="L18" s="2" t="s">
        <v>32</v>
      </c>
      <c r="M18" s="2" t="s">
        <v>19</v>
      </c>
      <c r="N18" s="2" t="s">
        <v>26</v>
      </c>
      <c r="O18" s="2" t="s">
        <v>27</v>
      </c>
    </row>
    <row r="19" spans="1:15" ht="25.5">
      <c r="A19" s="4" t="s">
        <v>561</v>
      </c>
      <c r="B19" t="str">
        <f>HYPERLINK("https://www.onsemi.com/PowerSolutions/product.do?id=MC14536B","MC14536B")</f>
        <v>MC14536B</v>
      </c>
      <c r="C19" t="str">
        <f>HYPERLINK("https://www.onsemi.com/pub/Collateral/MC14536B-D.PDF","MC14536B/D (146kB)")</f>
        <v>MC14536B/D (146kB)</v>
      </c>
      <c r="D19" t="s">
        <v>60</v>
      </c>
      <c r="E19" s="2" t="s">
        <v>23</v>
      </c>
      <c r="F19" t="s">
        <v>14</v>
      </c>
      <c r="G19" s="2" t="s">
        <v>61</v>
      </c>
      <c r="H19" s="2"/>
      <c r="I19" s="2"/>
      <c r="J19" s="2" t="s">
        <v>16</v>
      </c>
      <c r="K19" s="2" t="s">
        <v>17</v>
      </c>
      <c r="L19" s="2" t="s">
        <v>62</v>
      </c>
      <c r="M19" s="2" t="s">
        <v>19</v>
      </c>
      <c r="N19" s="2" t="s">
        <v>26</v>
      </c>
      <c r="O19" s="2" t="s">
        <v>48</v>
      </c>
    </row>
    <row r="20" spans="1:15" ht="51">
      <c r="A20" s="4" t="s">
        <v>561</v>
      </c>
      <c r="B20" t="str">
        <f>HYPERLINK("https://www.onsemi.com/PowerSolutions/product.do?id=MC14538B","MC14538B")</f>
        <v>MC14538B</v>
      </c>
      <c r="C20" t="str">
        <f>HYPERLINK("https://www.onsemi.com/pub/Collateral/MC14538B-D.PDF","MC14538B/D (173kB)")</f>
        <v>MC14538B/D (173kB)</v>
      </c>
      <c r="D20" t="s">
        <v>63</v>
      </c>
      <c r="E20" s="2" t="s">
        <v>13</v>
      </c>
      <c r="F20" t="s">
        <v>14</v>
      </c>
      <c r="G20" s="2" t="s">
        <v>59</v>
      </c>
      <c r="H20" s="2"/>
      <c r="I20" s="2"/>
      <c r="J20" s="2" t="s">
        <v>16</v>
      </c>
      <c r="K20" s="2" t="s">
        <v>17</v>
      </c>
      <c r="L20" s="2" t="s">
        <v>64</v>
      </c>
      <c r="M20" s="2" t="s">
        <v>19</v>
      </c>
      <c r="N20" s="2" t="s">
        <v>26</v>
      </c>
      <c r="O20" s="2" t="s">
        <v>65</v>
      </c>
    </row>
    <row r="21" spans="1:15" ht="51">
      <c r="A21" s="4" t="s">
        <v>561</v>
      </c>
      <c r="B21" t="str">
        <f>HYPERLINK("https://www.onsemi.com/PowerSolutions/product.do?id=MC14541B","MC14541B")</f>
        <v>MC14541B</v>
      </c>
      <c r="C21" t="str">
        <f>HYPERLINK("https://www.onsemi.com/pub/Collateral/MC14541B-D.PDF","MC14541B/D (152kB)")</f>
        <v>MC14541B/D (152kB)</v>
      </c>
      <c r="D21" t="s">
        <v>66</v>
      </c>
      <c r="E21" s="2" t="s">
        <v>13</v>
      </c>
      <c r="F21" t="s">
        <v>14</v>
      </c>
      <c r="G21" s="2" t="s">
        <v>61</v>
      </c>
      <c r="H21" s="2"/>
      <c r="I21" s="2"/>
      <c r="J21" s="2" t="s">
        <v>16</v>
      </c>
      <c r="K21" s="2" t="s">
        <v>17</v>
      </c>
      <c r="L21" s="2" t="s">
        <v>67</v>
      </c>
      <c r="M21" s="2" t="s">
        <v>19</v>
      </c>
      <c r="N21" s="2" t="s">
        <v>68</v>
      </c>
      <c r="O21" s="2" t="s">
        <v>69</v>
      </c>
    </row>
    <row r="22" spans="1:15" ht="25.5">
      <c r="A22" s="4" t="s">
        <v>561</v>
      </c>
      <c r="B22" t="str">
        <f>HYPERLINK("https://www.onsemi.com/PowerSolutions/product.do?id=MC1455","MC1455")</f>
        <v>MC1455</v>
      </c>
      <c r="C22" t="str">
        <f>HYPERLINK("https://www.onsemi.com/pub/Collateral/MC1455-D.PDF","MC1455/D (217.0kB)")</f>
        <v>MC1455/D (217.0kB)</v>
      </c>
      <c r="D22" t="s">
        <v>70</v>
      </c>
      <c r="E22" s="2" t="s">
        <v>23</v>
      </c>
      <c r="F22" t="s">
        <v>14</v>
      </c>
      <c r="G22" s="2" t="s">
        <v>61</v>
      </c>
      <c r="H22" s="2"/>
      <c r="I22" s="2"/>
      <c r="J22" s="2" t="s">
        <v>71</v>
      </c>
      <c r="K22" s="2" t="s">
        <v>72</v>
      </c>
      <c r="L22" s="2" t="s">
        <v>73</v>
      </c>
      <c r="M22" s="2" t="s">
        <v>74</v>
      </c>
      <c r="N22" s="2" t="s">
        <v>39</v>
      </c>
      <c r="O22" s="2" t="s">
        <v>75</v>
      </c>
    </row>
    <row r="23" spans="1:15" ht="25.5">
      <c r="A23" s="4" t="s">
        <v>561</v>
      </c>
      <c r="B23" t="str">
        <f>HYPERLINK("https://www.onsemi.com/PowerSolutions/product.do?id=MC1455B","MC1455B")</f>
        <v>MC1455B</v>
      </c>
      <c r="C23" t="str">
        <f>HYPERLINK("https://www.onsemi.com/pub/Collateral/MC1455-D.PDF","MC1455/D (217.0kB)")</f>
        <v>MC1455/D (217.0kB)</v>
      </c>
      <c r="D23" t="s">
        <v>70</v>
      </c>
      <c r="E23" s="2" t="s">
        <v>23</v>
      </c>
      <c r="F23" t="s">
        <v>14</v>
      </c>
      <c r="G23" s="2" t="s">
        <v>61</v>
      </c>
      <c r="H23" s="2"/>
      <c r="I23" s="2"/>
      <c r="J23" s="2" t="s">
        <v>71</v>
      </c>
      <c r="K23" s="2" t="s">
        <v>72</v>
      </c>
      <c r="L23" s="2" t="s">
        <v>73</v>
      </c>
      <c r="M23" s="2" t="s">
        <v>74</v>
      </c>
      <c r="N23" s="2" t="s">
        <v>39</v>
      </c>
      <c r="O23" s="2" t="s">
        <v>75</v>
      </c>
    </row>
    <row r="24" spans="1:15" ht="25.5">
      <c r="A24" s="4" t="s">
        <v>561</v>
      </c>
      <c r="B24" t="str">
        <f>HYPERLINK("https://www.onsemi.com/PowerSolutions/product.do?id=MC14569B","MC14569B")</f>
        <v>MC14569B</v>
      </c>
      <c r="C24" t="str">
        <f>HYPERLINK("https://www.onsemi.com/pub/Collateral/MC14569B-D.PDF","MC14569B/D (139kB)")</f>
        <v>MC14569B/D (139kB)</v>
      </c>
      <c r="D24" t="s">
        <v>76</v>
      </c>
      <c r="E24" s="2" t="s">
        <v>23</v>
      </c>
      <c r="F24" t="s">
        <v>14</v>
      </c>
      <c r="G24" s="2" t="s">
        <v>29</v>
      </c>
      <c r="H24" s="2"/>
      <c r="I24" s="2"/>
      <c r="J24" s="2" t="s">
        <v>16</v>
      </c>
      <c r="K24" s="2" t="s">
        <v>17</v>
      </c>
      <c r="L24" s="2" t="s">
        <v>77</v>
      </c>
      <c r="M24" s="2" t="s">
        <v>19</v>
      </c>
      <c r="N24" s="2" t="s">
        <v>26</v>
      </c>
      <c r="O24" s="2" t="s">
        <v>48</v>
      </c>
    </row>
    <row r="25" spans="1:15" ht="51">
      <c r="A25" s="4" t="s">
        <v>561</v>
      </c>
      <c r="B25" t="str">
        <f>HYPERLINK("https://www.onsemi.com/PowerSolutions/product.do?id=MC14585B","MC14585B")</f>
        <v>MC14585B</v>
      </c>
      <c r="C25" t="str">
        <f>HYPERLINK("https://www.onsemi.com/pub/Collateral/MC14585B-D.PDF","MC14585B/D (99kB)")</f>
        <v>MC14585B/D (99kB)</v>
      </c>
      <c r="D25" t="s">
        <v>78</v>
      </c>
      <c r="E25" s="2" t="s">
        <v>13</v>
      </c>
      <c r="F25" t="s">
        <v>14</v>
      </c>
      <c r="G25" s="2" t="s">
        <v>79</v>
      </c>
      <c r="H25" s="2"/>
      <c r="I25" s="2"/>
      <c r="J25" s="2" t="s">
        <v>16</v>
      </c>
      <c r="K25" s="2" t="s">
        <v>17</v>
      </c>
      <c r="L25" s="2" t="s">
        <v>80</v>
      </c>
      <c r="M25" s="2" t="s">
        <v>19</v>
      </c>
      <c r="N25" s="2" t="s">
        <v>26</v>
      </c>
      <c r="O25" s="2" t="s">
        <v>27</v>
      </c>
    </row>
    <row r="26" spans="1:15" ht="25.5">
      <c r="A26" s="4" t="s">
        <v>561</v>
      </c>
      <c r="B26" t="str">
        <f>HYPERLINK("https://www.onsemi.com/PowerSolutions/product.do?id=MC74AC161","MC74AC161")</f>
        <v>MC74AC161</v>
      </c>
      <c r="C26" t="str">
        <f>HYPERLINK("https://www.onsemi.com/pub/Collateral/MC74AC161-D.PDF","MC74AC161/D (109kB)")</f>
        <v>MC74AC161/D (109kB)</v>
      </c>
      <c r="D26" t="s">
        <v>81</v>
      </c>
      <c r="E26" s="2" t="s">
        <v>23</v>
      </c>
      <c r="F26" t="s">
        <v>14</v>
      </c>
      <c r="G26" s="2" t="s">
        <v>29</v>
      </c>
      <c r="H26" s="2"/>
      <c r="I26" s="2"/>
      <c r="J26" s="2" t="s">
        <v>82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27</v>
      </c>
    </row>
    <row r="27" spans="1:15" ht="25.5">
      <c r="A27" s="4" t="s">
        <v>561</v>
      </c>
      <c r="B27" t="str">
        <f>HYPERLINK("https://www.onsemi.com/PowerSolutions/product.do?id=MC74AC163","MC74AC163")</f>
        <v>MC74AC163</v>
      </c>
      <c r="C27" t="str">
        <f>HYPERLINK("https://www.onsemi.com/pub/Collateral/MC74AC161-D.PDF","MC74AC161/D (109kB)")</f>
        <v>MC74AC161/D (109kB)</v>
      </c>
      <c r="D27" t="s">
        <v>81</v>
      </c>
      <c r="E27" s="2" t="s">
        <v>23</v>
      </c>
      <c r="F27" t="s">
        <v>14</v>
      </c>
      <c r="G27" s="2" t="s">
        <v>29</v>
      </c>
      <c r="H27" s="2"/>
      <c r="I27" s="2"/>
      <c r="J27" s="2" t="s">
        <v>82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27</v>
      </c>
    </row>
    <row r="28" spans="1:15" ht="25.5">
      <c r="A28" s="4" t="s">
        <v>561</v>
      </c>
      <c r="B28" t="str">
        <f>HYPERLINK("https://www.onsemi.com/PowerSolutions/product.do?id=MC74AC4040","MC74AC4040")</f>
        <v>MC74AC4040</v>
      </c>
      <c r="C28" t="str">
        <f>HYPERLINK("https://www.onsemi.com/pub/Collateral/MC74AC4040-D.PDF","MC74AC4040/D (67kB)")</f>
        <v>MC74AC4040/D (67kB)</v>
      </c>
      <c r="D28" t="s">
        <v>87</v>
      </c>
      <c r="E28" s="2" t="s">
        <v>23</v>
      </c>
      <c r="F28" t="s">
        <v>14</v>
      </c>
      <c r="G28" s="2" t="s">
        <v>29</v>
      </c>
      <c r="H28" s="2"/>
      <c r="I28" s="2"/>
      <c r="J28" s="2" t="s">
        <v>82</v>
      </c>
      <c r="K28" s="2" t="s">
        <v>83</v>
      </c>
      <c r="L28" s="2" t="s">
        <v>68</v>
      </c>
      <c r="M28" s="2" t="s">
        <v>88</v>
      </c>
      <c r="N28" s="2" t="s">
        <v>86</v>
      </c>
      <c r="O28" s="2" t="s">
        <v>27</v>
      </c>
    </row>
    <row r="29" spans="1:15" ht="25.5">
      <c r="A29" s="4" t="s">
        <v>561</v>
      </c>
      <c r="B29" t="str">
        <f>HYPERLINK("https://www.onsemi.com/PowerSolutions/product.do?id=MC74ACT161","MC74ACT161")</f>
        <v>MC74ACT161</v>
      </c>
      <c r="C29" t="str">
        <f>HYPERLINK("https://www.onsemi.com/pub/Collateral/MC74AC161-D.PDF","MC74AC161/D (109kB)")</f>
        <v>MC74AC161/D (109kB)</v>
      </c>
      <c r="D29" t="s">
        <v>81</v>
      </c>
      <c r="E29" s="2" t="s">
        <v>23</v>
      </c>
      <c r="F29" t="s">
        <v>14</v>
      </c>
      <c r="G29" s="2" t="s">
        <v>29</v>
      </c>
      <c r="H29" s="2"/>
      <c r="I29" s="2"/>
      <c r="J29" s="2" t="s">
        <v>71</v>
      </c>
      <c r="K29" s="2" t="s">
        <v>89</v>
      </c>
      <c r="L29" s="2" t="s">
        <v>90</v>
      </c>
      <c r="M29" s="2" t="s">
        <v>85</v>
      </c>
      <c r="N29" s="2" t="s">
        <v>86</v>
      </c>
      <c r="O29" s="2" t="s">
        <v>27</v>
      </c>
    </row>
    <row r="30" spans="1:15" ht="25.5">
      <c r="A30" s="4" t="s">
        <v>561</v>
      </c>
      <c r="B30" t="str">
        <f>HYPERLINK("https://www.onsemi.com/PowerSolutions/product.do?id=MC74ACT163","MC74ACT163")</f>
        <v>MC74ACT163</v>
      </c>
      <c r="C30" t="str">
        <f>HYPERLINK("https://www.onsemi.com/pub/Collateral/MC74AC161-D.PDF","MC74AC161/D (109kB)")</f>
        <v>MC74AC161/D (109kB)</v>
      </c>
      <c r="D30" t="s">
        <v>81</v>
      </c>
      <c r="E30" s="2" t="s">
        <v>23</v>
      </c>
      <c r="F30" t="s">
        <v>14</v>
      </c>
      <c r="G30" s="2" t="s">
        <v>29</v>
      </c>
      <c r="H30" s="2"/>
      <c r="I30" s="2"/>
      <c r="J30" s="2" t="s">
        <v>71</v>
      </c>
      <c r="K30" s="2" t="s">
        <v>89</v>
      </c>
      <c r="L30" s="2" t="s">
        <v>91</v>
      </c>
      <c r="M30" s="2" t="s">
        <v>85</v>
      </c>
      <c r="N30" s="2" t="s">
        <v>86</v>
      </c>
      <c r="O30" s="2" t="s">
        <v>27</v>
      </c>
    </row>
    <row r="31" spans="1:15" ht="25.5">
      <c r="A31" s="4" t="s">
        <v>561</v>
      </c>
      <c r="B31" t="str">
        <f>HYPERLINK("https://www.onsemi.com/PowerSolutions/product.do?id=MC74HC160A","MC74HC160A")</f>
        <v>MC74HC160A</v>
      </c>
      <c r="C31" t="str">
        <f>HYPERLINK("https://www.onsemi.com/pub/Collateral/MC74HC160A-D.PDF","MC74HC160A/D (156.0kB)")</f>
        <v>MC74HC160A/D (156.0kB)</v>
      </c>
      <c r="D31" t="s">
        <v>92</v>
      </c>
      <c r="E31" s="2" t="s">
        <v>23</v>
      </c>
      <c r="F31" t="s">
        <v>14</v>
      </c>
      <c r="G31" s="2" t="s">
        <v>29</v>
      </c>
      <c r="H31" s="2"/>
      <c r="I31" s="2"/>
      <c r="J31" s="2" t="s">
        <v>82</v>
      </c>
      <c r="K31" s="2" t="s">
        <v>83</v>
      </c>
      <c r="L31" s="2" t="s">
        <v>93</v>
      </c>
      <c r="M31" s="2" t="s">
        <v>94</v>
      </c>
      <c r="N31" s="2" t="s">
        <v>95</v>
      </c>
      <c r="O31" s="2" t="s">
        <v>42</v>
      </c>
    </row>
    <row r="32" spans="1:15" ht="25.5">
      <c r="A32" s="4" t="s">
        <v>561</v>
      </c>
      <c r="B32" t="str">
        <f>HYPERLINK("https://www.onsemi.com/PowerSolutions/product.do?id=MC74HC161A","MC74HC161A")</f>
        <v>MC74HC161A</v>
      </c>
      <c r="C32" t="str">
        <f>HYPERLINK("https://www.onsemi.com/pub/Collateral/MC74HC161A-D.PDF","MC74HC161A/D (161.0kB)")</f>
        <v>MC74HC161A/D (161.0kB)</v>
      </c>
      <c r="D32" t="s">
        <v>96</v>
      </c>
      <c r="E32" s="2" t="s">
        <v>23</v>
      </c>
      <c r="F32" t="s">
        <v>14</v>
      </c>
      <c r="G32" s="2" t="s">
        <v>29</v>
      </c>
      <c r="H32" s="2"/>
      <c r="I32" s="2"/>
      <c r="J32" s="2" t="s">
        <v>82</v>
      </c>
      <c r="K32" s="2" t="s">
        <v>83</v>
      </c>
      <c r="L32" s="2" t="s">
        <v>72</v>
      </c>
      <c r="M32" s="2" t="s">
        <v>94</v>
      </c>
      <c r="N32" s="2" t="s">
        <v>97</v>
      </c>
      <c r="O32" s="2" t="s">
        <v>42</v>
      </c>
    </row>
    <row r="33" spans="1:15" ht="25.5">
      <c r="A33" s="4" t="s">
        <v>561</v>
      </c>
      <c r="B33" t="str">
        <f>HYPERLINK("https://www.onsemi.com/PowerSolutions/product.do?id=MC74HC163A","MC74HC163A")</f>
        <v>MC74HC163A</v>
      </c>
      <c r="C33" t="str">
        <f>HYPERLINK("https://www.onsemi.com/pub/Collateral/MC74HC161A-D.PDF","MC74HC161A/D (161.0kB)")</f>
        <v>MC74HC161A/D (161.0kB)</v>
      </c>
      <c r="D33" t="s">
        <v>96</v>
      </c>
      <c r="E33" s="2" t="s">
        <v>23</v>
      </c>
      <c r="F33" t="s">
        <v>14</v>
      </c>
      <c r="G33" s="2" t="s">
        <v>29</v>
      </c>
      <c r="H33" s="2"/>
      <c r="I33" s="2"/>
      <c r="J33" s="2" t="s">
        <v>82</v>
      </c>
      <c r="K33" s="2" t="s">
        <v>83</v>
      </c>
      <c r="L33" s="2" t="s">
        <v>93</v>
      </c>
      <c r="M33" s="2" t="s">
        <v>94</v>
      </c>
      <c r="N33" s="2" t="s">
        <v>97</v>
      </c>
      <c r="O33" s="2" t="s">
        <v>42</v>
      </c>
    </row>
    <row r="34" spans="1:15" ht="51">
      <c r="A34" s="4" t="s">
        <v>561</v>
      </c>
      <c r="B34" t="str">
        <f>HYPERLINK("https://www.onsemi.com/PowerSolutions/product.do?id=MC74HC390A","MC74HC390A")</f>
        <v>MC74HC390A</v>
      </c>
      <c r="C34" t="str">
        <f>HYPERLINK("https://www.onsemi.com/pub/Collateral/MC74HC390A-D.PDF","MC74HC390A/D (121kB)")</f>
        <v>MC74HC390A/D (121kB)</v>
      </c>
      <c r="D34" t="s">
        <v>98</v>
      </c>
      <c r="E34" s="2" t="s">
        <v>13</v>
      </c>
      <c r="F34" t="s">
        <v>14</v>
      </c>
      <c r="G34" s="2" t="s">
        <v>29</v>
      </c>
      <c r="H34" s="2"/>
      <c r="I34" s="2"/>
      <c r="J34" s="2" t="s">
        <v>82</v>
      </c>
      <c r="K34" s="2" t="s">
        <v>83</v>
      </c>
      <c r="L34" s="2" t="s">
        <v>99</v>
      </c>
      <c r="M34" s="2" t="s">
        <v>88</v>
      </c>
      <c r="N34" s="2" t="s">
        <v>97</v>
      </c>
      <c r="O34" s="2" t="s">
        <v>100</v>
      </c>
    </row>
    <row r="35" spans="1:15" ht="51">
      <c r="A35" s="4" t="s">
        <v>561</v>
      </c>
      <c r="B35" t="str">
        <f>HYPERLINK("https://www.onsemi.com/PowerSolutions/product.do?id=MC74HC393A","MC74HC393A")</f>
        <v>MC74HC393A</v>
      </c>
      <c r="C35" t="str">
        <f>HYPERLINK("https://www.onsemi.com/pub/Collateral/MC74HC393A-D.PDF","MC74HC393A/D (114kB)")</f>
        <v>MC74HC393A/D (114kB)</v>
      </c>
      <c r="D35" t="s">
        <v>101</v>
      </c>
      <c r="E35" s="2" t="s">
        <v>13</v>
      </c>
      <c r="F35" t="s">
        <v>14</v>
      </c>
      <c r="G35" s="2" t="s">
        <v>29</v>
      </c>
      <c r="H35" s="2"/>
      <c r="I35" s="2"/>
      <c r="J35" s="2" t="s">
        <v>82</v>
      </c>
      <c r="K35" s="2" t="s">
        <v>83</v>
      </c>
      <c r="L35" s="2" t="s">
        <v>102</v>
      </c>
      <c r="M35" s="2" t="s">
        <v>88</v>
      </c>
      <c r="N35" s="2" t="s">
        <v>97</v>
      </c>
      <c r="O35" s="2" t="s">
        <v>69</v>
      </c>
    </row>
    <row r="36" spans="1:15" ht="51">
      <c r="A36" s="4" t="s">
        <v>561</v>
      </c>
      <c r="B36" t="str">
        <f>HYPERLINK("https://www.onsemi.com/PowerSolutions/product.do?id=MC74HC4020A","MC74HC4020A")</f>
        <v>MC74HC4020A</v>
      </c>
      <c r="C36" t="str">
        <f>HYPERLINK("https://www.onsemi.com/pub/Collateral/MC74HC4020A-D.PDF","MC74HC4020A/D (117kB)")</f>
        <v>MC74HC4020A/D (117kB)</v>
      </c>
      <c r="D36" t="s">
        <v>103</v>
      </c>
      <c r="E36" s="2" t="s">
        <v>13</v>
      </c>
      <c r="F36" t="s">
        <v>14</v>
      </c>
      <c r="G36" s="2" t="s">
        <v>29</v>
      </c>
      <c r="H36" s="2"/>
      <c r="I36" s="2"/>
      <c r="J36" s="2" t="s">
        <v>82</v>
      </c>
      <c r="K36" s="2" t="s">
        <v>83</v>
      </c>
      <c r="L36" s="2" t="s">
        <v>104</v>
      </c>
      <c r="M36" s="2" t="s">
        <v>88</v>
      </c>
      <c r="N36" s="2" t="s">
        <v>97</v>
      </c>
      <c r="O36" s="2" t="s">
        <v>42</v>
      </c>
    </row>
    <row r="37" spans="1:15" ht="51">
      <c r="A37" s="4" t="s">
        <v>561</v>
      </c>
      <c r="B37" t="str">
        <f>HYPERLINK("https://www.onsemi.com/PowerSolutions/product.do?id=MC74HC4040A","MC74HC4040A")</f>
        <v>MC74HC4040A</v>
      </c>
      <c r="C37" t="str">
        <f>HYPERLINK("https://www.onsemi.com/pub/Collateral/MC74HC4040A-D.PDF","MC74HC4040A/D (117kB)")</f>
        <v>MC74HC4040A/D (117kB)</v>
      </c>
      <c r="D37" t="s">
        <v>87</v>
      </c>
      <c r="E37" s="2" t="s">
        <v>13</v>
      </c>
      <c r="F37" t="s">
        <v>14</v>
      </c>
      <c r="G37" s="2" t="s">
        <v>29</v>
      </c>
      <c r="H37" s="2"/>
      <c r="I37" s="2"/>
      <c r="J37" s="2" t="s">
        <v>82</v>
      </c>
      <c r="K37" s="2" t="s">
        <v>83</v>
      </c>
      <c r="L37" s="2" t="s">
        <v>104</v>
      </c>
      <c r="M37" s="2" t="s">
        <v>88</v>
      </c>
      <c r="N37" s="2" t="s">
        <v>97</v>
      </c>
      <c r="O37" s="2" t="s">
        <v>42</v>
      </c>
    </row>
    <row r="38" spans="1:15" ht="51">
      <c r="A38" s="4" t="s">
        <v>561</v>
      </c>
      <c r="B38" t="str">
        <f>HYPERLINK("https://www.onsemi.com/PowerSolutions/product.do?id=MC74HC4060A","MC74HC4060A")</f>
        <v>MC74HC4060A</v>
      </c>
      <c r="C38" t="str">
        <f>HYPERLINK("https://www.onsemi.com/pub/Collateral/MC74HC4060A-D.PDF","MC74HC4060A/D (110kB)")</f>
        <v>MC74HC4060A/D (110kB)</v>
      </c>
      <c r="D38" t="s">
        <v>105</v>
      </c>
      <c r="E38" s="2" t="s">
        <v>13</v>
      </c>
      <c r="F38" t="s">
        <v>14</v>
      </c>
      <c r="G38" s="2" t="s">
        <v>29</v>
      </c>
      <c r="H38" s="2"/>
      <c r="I38" s="2"/>
      <c r="J38" s="2" t="s">
        <v>82</v>
      </c>
      <c r="K38" s="2" t="s">
        <v>83</v>
      </c>
      <c r="L38" s="2" t="s">
        <v>106</v>
      </c>
      <c r="M38" s="2" t="s">
        <v>88</v>
      </c>
      <c r="N38" s="2" t="s">
        <v>97</v>
      </c>
      <c r="O38" s="2" t="s">
        <v>42</v>
      </c>
    </row>
    <row r="39" spans="1:15" ht="51">
      <c r="A39" s="4" t="s">
        <v>561</v>
      </c>
      <c r="B39" t="str">
        <f>HYPERLINK("https://www.onsemi.com/PowerSolutions/product.do?id=MC74HC4538A","MC74HC4538A")</f>
        <v>MC74HC4538A</v>
      </c>
      <c r="C39" t="str">
        <f>HYPERLINK("https://www.onsemi.com/pub/Collateral/MC74HC4538A-D.PDF","MC74HC4538A/D (162kB)")</f>
        <v>MC74HC4538A/D (162kB)</v>
      </c>
      <c r="D39" t="s">
        <v>63</v>
      </c>
      <c r="E39" s="2" t="s">
        <v>13</v>
      </c>
      <c r="F39" t="s">
        <v>14</v>
      </c>
      <c r="G39" s="2" t="s">
        <v>59</v>
      </c>
      <c r="H39" s="2"/>
      <c r="I39" s="2"/>
      <c r="J39" s="2" t="s">
        <v>16</v>
      </c>
      <c r="K39" s="2" t="s">
        <v>83</v>
      </c>
      <c r="L39" s="2" t="s">
        <v>107</v>
      </c>
      <c r="M39" s="2" t="s">
        <v>94</v>
      </c>
      <c r="N39" s="2" t="s">
        <v>108</v>
      </c>
      <c r="O39" s="2" t="s">
        <v>42</v>
      </c>
    </row>
    <row r="40" spans="1:15" ht="51">
      <c r="A40" s="4" t="s">
        <v>561</v>
      </c>
      <c r="B40" t="str">
        <f>HYPERLINK("https://www.onsemi.com/PowerSolutions/product.do?id=NCV1455","NCV1455")</f>
        <v>NCV1455</v>
      </c>
      <c r="C40" t="str">
        <f>HYPERLINK("https://www.onsemi.com/pub/Collateral/MC1455-D.PDF","MC1455/D (217.0kB)")</f>
        <v>MC1455/D (217.0kB)</v>
      </c>
      <c r="D40" t="s">
        <v>70</v>
      </c>
      <c r="E40" s="2" t="s">
        <v>109</v>
      </c>
      <c r="F40" t="s">
        <v>14</v>
      </c>
      <c r="G40" s="2" t="s">
        <v>61</v>
      </c>
      <c r="H40" s="2"/>
      <c r="I40" s="2"/>
      <c r="J40" s="2" t="s">
        <v>71</v>
      </c>
      <c r="K40" s="2" t="s">
        <v>72</v>
      </c>
      <c r="L40" s="2" t="s">
        <v>110</v>
      </c>
      <c r="M40" s="2" t="s">
        <v>74</v>
      </c>
      <c r="N40" s="2" t="s">
        <v>39</v>
      </c>
      <c r="O40" s="2" t="s">
        <v>75</v>
      </c>
    </row>
    <row r="41" spans="1:15" ht="51">
      <c r="A41" s="5" t="s">
        <v>413</v>
      </c>
      <c r="B41" t="str">
        <f>HYPERLINK("https://www.onsemi.com/PowerSolutions/product.do?id=MC74VHC1G04","MC74VHC1G04")</f>
        <v>MC74VHC1G04</v>
      </c>
      <c r="C41" t="str">
        <f>HYPERLINK("https://www.onsemi.com/pub/Collateral/MC74VHC1G04-D.PDF","MC74VHC1G04/D (200kB)")</f>
        <v>MC74VHC1G04/D (200kB)</v>
      </c>
      <c r="D41" t="s">
        <v>114</v>
      </c>
      <c r="E41" s="2" t="s">
        <v>13</v>
      </c>
      <c r="F41" t="s">
        <v>115</v>
      </c>
      <c r="H41" s="2" t="s">
        <v>116</v>
      </c>
      <c r="I41" s="2" t="s">
        <v>117</v>
      </c>
      <c r="J41" s="2" t="s">
        <v>82</v>
      </c>
      <c r="K41" s="2" t="s">
        <v>89</v>
      </c>
      <c r="L41" s="2" t="s">
        <v>118</v>
      </c>
      <c r="M41" s="2"/>
      <c r="N41" s="2" t="s">
        <v>68</v>
      </c>
      <c r="O41" s="2" t="s">
        <v>119</v>
      </c>
    </row>
    <row r="42" spans="1:15" ht="51">
      <c r="A42" s="5" t="s">
        <v>413</v>
      </c>
      <c r="B42" t="str">
        <f>HYPERLINK("https://www.onsemi.com/PowerSolutions/product.do?id=MC74VHC1G125","MC74VHC1G125")</f>
        <v>MC74VHC1G125</v>
      </c>
      <c r="C42" t="str">
        <f>HYPERLINK("https://www.onsemi.com/pub/Collateral/MC74VHC1G125-D.PDF","MC74VHC1G125/D (189kB)")</f>
        <v>MC74VHC1G125/D (189kB)</v>
      </c>
      <c r="D42" t="s">
        <v>120</v>
      </c>
      <c r="E42" s="2" t="s">
        <v>13</v>
      </c>
      <c r="F42" t="s">
        <v>115</v>
      </c>
      <c r="H42" s="2" t="s">
        <v>116</v>
      </c>
      <c r="I42" s="2" t="s">
        <v>121</v>
      </c>
      <c r="J42" s="2" t="s">
        <v>82</v>
      </c>
      <c r="K42" s="2" t="s">
        <v>89</v>
      </c>
      <c r="L42" s="2" t="s">
        <v>118</v>
      </c>
      <c r="M42" s="2"/>
      <c r="N42" s="2" t="s">
        <v>68</v>
      </c>
      <c r="O42" s="2" t="s">
        <v>119</v>
      </c>
    </row>
    <row r="43" spans="1:15" ht="51">
      <c r="A43" s="5" t="s">
        <v>413</v>
      </c>
      <c r="B43" t="str">
        <f>HYPERLINK("https://www.onsemi.com/PowerSolutions/product.do?id=MC74VHC1G126","MC74VHC1G126")</f>
        <v>MC74VHC1G126</v>
      </c>
      <c r="C43" t="str">
        <f>HYPERLINK("https://www.onsemi.com/pub/Collateral/MC74VHC1G126-D.PDF","MC74VHC1G126/D (203kB)")</f>
        <v>MC74VHC1G126/D (203kB)</v>
      </c>
      <c r="D43" t="s">
        <v>122</v>
      </c>
      <c r="E43" s="2" t="s">
        <v>13</v>
      </c>
      <c r="F43" t="s">
        <v>115</v>
      </c>
      <c r="H43" s="2" t="s">
        <v>116</v>
      </c>
      <c r="I43" s="2" t="s">
        <v>121</v>
      </c>
      <c r="J43" s="2" t="s">
        <v>82</v>
      </c>
      <c r="K43" s="2" t="s">
        <v>89</v>
      </c>
      <c r="L43" s="2" t="s">
        <v>118</v>
      </c>
      <c r="M43" s="2"/>
      <c r="N43" s="2" t="s">
        <v>68</v>
      </c>
      <c r="O43" s="2" t="s">
        <v>119</v>
      </c>
    </row>
    <row r="44" spans="1:15" ht="51">
      <c r="A44" s="5" t="s">
        <v>413</v>
      </c>
      <c r="B44" t="str">
        <f>HYPERLINK("https://www.onsemi.com/PowerSolutions/product.do?id=MC74VHC1G50","MC74VHC1G50")</f>
        <v>MC74VHC1G50</v>
      </c>
      <c r="C44" t="str">
        <f>HYPERLINK("https://www.onsemi.com/pub/Collateral/MC74VHC1G50-D.PDF","MC74VHC1G50/D (198kB)")</f>
        <v>MC74VHC1G50/D (198kB)</v>
      </c>
      <c r="D44" t="s">
        <v>123</v>
      </c>
      <c r="E44" s="2" t="s">
        <v>13</v>
      </c>
      <c r="F44" t="s">
        <v>115</v>
      </c>
      <c r="H44" s="2" t="s">
        <v>116</v>
      </c>
      <c r="I44" s="2" t="s">
        <v>117</v>
      </c>
      <c r="J44" s="2" t="s">
        <v>82</v>
      </c>
      <c r="K44" s="2" t="s">
        <v>89</v>
      </c>
      <c r="L44" s="2" t="s">
        <v>118</v>
      </c>
      <c r="M44" s="2"/>
      <c r="N44" s="2" t="s">
        <v>68</v>
      </c>
      <c r="O44" s="2" t="s">
        <v>119</v>
      </c>
    </row>
    <row r="45" spans="1:15" ht="51">
      <c r="A45" s="5" t="s">
        <v>413</v>
      </c>
      <c r="B45" t="str">
        <f>HYPERLINK("https://www.onsemi.com/PowerSolutions/product.do?id=MC74VHC1GT125","MC74VHC1GT125")</f>
        <v>MC74VHC1GT125</v>
      </c>
      <c r="C45" t="str">
        <f>HYPERLINK("https://www.onsemi.com/pub/Collateral/MC74VHC1G125-D.PDF","MC74VHC1G125/D (189kB)")</f>
        <v>MC74VHC1G125/D (189kB)</v>
      </c>
      <c r="D45" t="s">
        <v>122</v>
      </c>
      <c r="E45" s="2" t="s">
        <v>124</v>
      </c>
      <c r="F45" t="s">
        <v>115</v>
      </c>
      <c r="H45" s="2" t="s">
        <v>116</v>
      </c>
      <c r="I45" s="2" t="s">
        <v>121</v>
      </c>
      <c r="J45" s="2" t="s">
        <v>16</v>
      </c>
      <c r="K45" s="2" t="s">
        <v>89</v>
      </c>
      <c r="L45" s="2" t="s">
        <v>118</v>
      </c>
      <c r="M45" s="2"/>
      <c r="N45" s="2" t="s">
        <v>68</v>
      </c>
      <c r="O45" s="2" t="s">
        <v>125</v>
      </c>
    </row>
    <row r="46" spans="1:15" ht="51">
      <c r="A46" s="5" t="s">
        <v>413</v>
      </c>
      <c r="B46" t="str">
        <f>HYPERLINK("https://www.onsemi.com/PowerSolutions/product.do?id=MC74VHC1GT126","MC74VHC1GT126")</f>
        <v>MC74VHC1GT126</v>
      </c>
      <c r="C46" t="str">
        <f>HYPERLINK("https://www.onsemi.com/pub/Collateral/MC74VHC1G126-D.PDF","MC74VHC1G126/D (203kB)")</f>
        <v>MC74VHC1G126/D (203kB)</v>
      </c>
      <c r="D46" t="s">
        <v>126</v>
      </c>
      <c r="E46" s="2" t="s">
        <v>13</v>
      </c>
      <c r="F46" t="s">
        <v>115</v>
      </c>
      <c r="H46" s="2" t="s">
        <v>116</v>
      </c>
      <c r="I46" s="2" t="s">
        <v>121</v>
      </c>
      <c r="J46" s="2" t="s">
        <v>16</v>
      </c>
      <c r="K46" s="2" t="s">
        <v>89</v>
      </c>
      <c r="L46" s="2" t="s">
        <v>118</v>
      </c>
      <c r="M46" s="2"/>
      <c r="N46" s="2" t="s">
        <v>68</v>
      </c>
      <c r="O46" s="2" t="s">
        <v>119</v>
      </c>
    </row>
    <row r="47" spans="1:15" ht="63.75">
      <c r="A47" s="5" t="s">
        <v>413</v>
      </c>
      <c r="B47" t="str">
        <f>HYPERLINK("https://www.onsemi.com/PowerSolutions/product.do?id=MC74VHC1GT50","MC74VHC1GT50")</f>
        <v>MC74VHC1GT50</v>
      </c>
      <c r="C47" t="str">
        <f>HYPERLINK("https://www.onsemi.com/pub/Collateral/MC74VHC1G50-D.PDF","MC74VHC1G50/D (198kB)")</f>
        <v>MC74VHC1G50/D (198kB)</v>
      </c>
      <c r="D47" t="s">
        <v>126</v>
      </c>
      <c r="E47" s="2" t="s">
        <v>13</v>
      </c>
      <c r="F47" t="s">
        <v>115</v>
      </c>
      <c r="H47" s="2" t="s">
        <v>116</v>
      </c>
      <c r="I47" s="2" t="s">
        <v>117</v>
      </c>
      <c r="J47" s="2" t="s">
        <v>127</v>
      </c>
      <c r="K47" s="2" t="s">
        <v>89</v>
      </c>
      <c r="L47" s="2" t="s">
        <v>118</v>
      </c>
      <c r="M47" s="2"/>
      <c r="N47" s="2" t="s">
        <v>68</v>
      </c>
      <c r="O47" s="2" t="s">
        <v>128</v>
      </c>
    </row>
    <row r="48" spans="1:15" ht="51">
      <c r="A48" s="5" t="s">
        <v>413</v>
      </c>
      <c r="B48" t="str">
        <f>HYPERLINK("https://www.onsemi.com/PowerSolutions/product.do?id=NL17SV125","NL17SV125")</f>
        <v>NL17SV125</v>
      </c>
      <c r="C48" t="str">
        <f>HYPERLINK("https://www.onsemi.com/pub/Collateral/NL17SV125-D.PDF","NL17SV125/D (277kB)")</f>
        <v>NL17SV125/D (277kB)</v>
      </c>
      <c r="D48" t="s">
        <v>129</v>
      </c>
      <c r="E48" s="2" t="s">
        <v>109</v>
      </c>
      <c r="F48" t="s">
        <v>115</v>
      </c>
      <c r="H48" s="2" t="s">
        <v>116</v>
      </c>
      <c r="I48" s="2" t="s">
        <v>121</v>
      </c>
      <c r="J48" s="2" t="s">
        <v>130</v>
      </c>
      <c r="K48" s="2" t="s">
        <v>131</v>
      </c>
      <c r="L48" s="2" t="s">
        <v>116</v>
      </c>
      <c r="M48" s="2"/>
      <c r="N48" s="2" t="s">
        <v>86</v>
      </c>
      <c r="O48" s="2" t="s">
        <v>132</v>
      </c>
    </row>
    <row r="49" spans="1:15" ht="76.5">
      <c r="A49" s="5" t="s">
        <v>413</v>
      </c>
      <c r="B49" t="str">
        <f>HYPERLINK("https://www.onsemi.com/PowerSolutions/product.do?id=NL17SZ125","NL17SZ125")</f>
        <v>NL17SZ125</v>
      </c>
      <c r="C49" t="str">
        <f>HYPERLINK("https://www.onsemi.com/pub/Collateral/NL17SZ125-D.PDF","NL17SZ125/D (195kB)")</f>
        <v>NL17SZ125/D (195kB)</v>
      </c>
      <c r="D49" t="s">
        <v>122</v>
      </c>
      <c r="E49" s="2" t="s">
        <v>124</v>
      </c>
      <c r="F49" t="s">
        <v>115</v>
      </c>
      <c r="H49" s="2" t="s">
        <v>116</v>
      </c>
      <c r="I49" s="2" t="s">
        <v>117</v>
      </c>
      <c r="J49" s="2" t="s">
        <v>127</v>
      </c>
      <c r="K49" s="2" t="s">
        <v>89</v>
      </c>
      <c r="L49" s="2" t="s">
        <v>133</v>
      </c>
      <c r="M49" s="2"/>
      <c r="N49" s="2" t="s">
        <v>86</v>
      </c>
      <c r="O49" s="2" t="s">
        <v>134</v>
      </c>
    </row>
    <row r="50" spans="1:15" ht="51">
      <c r="A50" s="5" t="s">
        <v>413</v>
      </c>
      <c r="B50" t="str">
        <f>HYPERLINK("https://www.onsemi.com/PowerSolutions/product.do?id=NL27WZ16","NL27WZ16")</f>
        <v>NL27WZ16</v>
      </c>
      <c r="C50" t="str">
        <f>HYPERLINK("https://www.onsemi.com/pub/Collateral/NL27WZ16-D.PDF","NL27WZ16/D (252kB)")</f>
        <v>NL27WZ16/D (252kB)</v>
      </c>
      <c r="D50" t="s">
        <v>135</v>
      </c>
      <c r="E50" s="2" t="s">
        <v>13</v>
      </c>
      <c r="F50" t="s">
        <v>115</v>
      </c>
      <c r="H50" s="2" t="s">
        <v>82</v>
      </c>
      <c r="I50" s="2" t="s">
        <v>117</v>
      </c>
      <c r="J50" s="2" t="s">
        <v>127</v>
      </c>
      <c r="K50" s="2" t="s">
        <v>89</v>
      </c>
      <c r="L50" s="2" t="s">
        <v>82</v>
      </c>
      <c r="M50" s="2"/>
      <c r="N50" s="2" t="s">
        <v>86</v>
      </c>
      <c r="O50" s="2" t="s">
        <v>136</v>
      </c>
    </row>
    <row r="51" spans="1:15" ht="51">
      <c r="A51" s="5" t="s">
        <v>413</v>
      </c>
      <c r="B51" t="str">
        <f>HYPERLINK("https://www.onsemi.com/PowerSolutions/product.do?id=NL27WZ17","NL27WZ17")</f>
        <v>NL27WZ17</v>
      </c>
      <c r="C51" t="str">
        <f>HYPERLINK("https://www.onsemi.com/pub/Collateral/NL27WZ17-D.PDF","NL27WZ17/D (176kB)")</f>
        <v>NL27WZ17/D (176kB)</v>
      </c>
      <c r="D51" t="s">
        <v>137</v>
      </c>
      <c r="E51" s="2" t="s">
        <v>13</v>
      </c>
      <c r="F51" t="s">
        <v>115</v>
      </c>
      <c r="H51" s="2" t="s">
        <v>82</v>
      </c>
      <c r="I51" s="2" t="s">
        <v>117</v>
      </c>
      <c r="J51" s="2" t="s">
        <v>127</v>
      </c>
      <c r="K51" s="2" t="s">
        <v>89</v>
      </c>
      <c r="L51" s="2" t="s">
        <v>82</v>
      </c>
      <c r="M51" s="2"/>
      <c r="N51" s="2" t="s">
        <v>86</v>
      </c>
      <c r="O51" s="2" t="s">
        <v>136</v>
      </c>
    </row>
    <row r="52" spans="1:15" ht="25.5">
      <c r="A52" s="5" t="s">
        <v>413</v>
      </c>
      <c r="B52" t="str">
        <f>HYPERLINK("https://www.onsemi.com/PowerSolutions/product.do?id=NL17SZ10","NL17SZ10")</f>
        <v>NL17SZ10</v>
      </c>
      <c r="C52" t="str">
        <f>HYPERLINK("https://www.onsemi.com/pub/Collateral/NL17SZ10-D.PDF","NL17SZ10/D (259kB)")</f>
        <v>NL17SZ10/D (259kB)</v>
      </c>
      <c r="D52" t="s">
        <v>138</v>
      </c>
      <c r="E52" s="2" t="s">
        <v>23</v>
      </c>
      <c r="F52" t="s">
        <v>140</v>
      </c>
      <c r="H52" s="2" t="s">
        <v>116</v>
      </c>
      <c r="I52" s="2" t="s">
        <v>141</v>
      </c>
      <c r="J52" s="2" t="s">
        <v>127</v>
      </c>
      <c r="K52" s="2" t="s">
        <v>89</v>
      </c>
      <c r="L52" s="2" t="s">
        <v>142</v>
      </c>
      <c r="M52" s="2"/>
      <c r="N52" s="2" t="s">
        <v>143</v>
      </c>
      <c r="O52" s="2" t="s">
        <v>144</v>
      </c>
    </row>
    <row r="53" spans="1:15" ht="25.5">
      <c r="A53" s="5" t="s">
        <v>413</v>
      </c>
      <c r="B53" t="str">
        <f>HYPERLINK("https://www.onsemi.com/PowerSolutions/product.do?id=74AC04","74AC04")</f>
        <v>74AC04</v>
      </c>
      <c r="C53" t="str">
        <f>HYPERLINK("https://www.onsemi.com/pub/Collateral/74ACT04-D.pdf","74ACT04/D (452kB)")</f>
        <v>74ACT04/D (452kB)</v>
      </c>
      <c r="D53" t="s">
        <v>145</v>
      </c>
      <c r="E53" s="2" t="s">
        <v>23</v>
      </c>
      <c r="F53" t="s">
        <v>14</v>
      </c>
      <c r="H53" s="2" t="s">
        <v>83</v>
      </c>
      <c r="I53" s="2" t="s">
        <v>117</v>
      </c>
      <c r="J53" s="2" t="s">
        <v>82</v>
      </c>
      <c r="K53" s="2" t="s">
        <v>83</v>
      </c>
      <c r="L53" s="2" t="s">
        <v>108</v>
      </c>
      <c r="M53" s="2"/>
      <c r="N53" s="2" t="s">
        <v>86</v>
      </c>
      <c r="O53" s="2" t="s">
        <v>146</v>
      </c>
    </row>
    <row r="54" spans="1:15" ht="25.5">
      <c r="A54" s="5" t="s">
        <v>413</v>
      </c>
      <c r="B54" t="str">
        <f>HYPERLINK("https://www.onsemi.com/PowerSolutions/product.do?id=74AC14","74AC14")</f>
        <v>74AC14</v>
      </c>
      <c r="C54" t="str">
        <f>HYPERLINK("https://www.onsemi.com/pub/Collateral/74ACT14-D.pdf","74ACT14/D (369kB)")</f>
        <v>74ACT14/D (369kB)</v>
      </c>
      <c r="D54" t="s">
        <v>147</v>
      </c>
      <c r="E54" s="2" t="s">
        <v>23</v>
      </c>
      <c r="F54" t="s">
        <v>14</v>
      </c>
      <c r="H54" s="2" t="s">
        <v>83</v>
      </c>
      <c r="I54" s="2" t="s">
        <v>117</v>
      </c>
      <c r="J54" s="2" t="s">
        <v>82</v>
      </c>
      <c r="K54" s="2" t="s">
        <v>83</v>
      </c>
      <c r="L54" s="2" t="s">
        <v>148</v>
      </c>
      <c r="M54" s="2"/>
      <c r="N54" s="2" t="s">
        <v>86</v>
      </c>
      <c r="O54" s="2" t="s">
        <v>146</v>
      </c>
    </row>
    <row r="55" spans="1:15" ht="25.5">
      <c r="A55" s="5" t="s">
        <v>413</v>
      </c>
      <c r="B55" t="str">
        <f>HYPERLINK("https://www.onsemi.com/PowerSolutions/product.do?id=74AC240","74AC240")</f>
        <v>74AC240</v>
      </c>
      <c r="C55" t="str">
        <f>HYPERLINK("https://www.onsemi.com/pub/Collateral/74AC240-D.pdf","74AC240/D (449kB)")</f>
        <v>74AC240/D (449kB)</v>
      </c>
      <c r="D55" t="s">
        <v>149</v>
      </c>
      <c r="E55" s="2" t="s">
        <v>23</v>
      </c>
      <c r="F55" t="s">
        <v>14</v>
      </c>
      <c r="H55" s="2" t="s">
        <v>68</v>
      </c>
      <c r="I55" s="2" t="s">
        <v>121</v>
      </c>
      <c r="J55" s="2" t="s">
        <v>82</v>
      </c>
      <c r="K55" s="2" t="s">
        <v>83</v>
      </c>
      <c r="L55" s="2" t="s">
        <v>71</v>
      </c>
      <c r="M55" s="2"/>
      <c r="N55" s="2" t="s">
        <v>86</v>
      </c>
      <c r="O55" s="2" t="s">
        <v>150</v>
      </c>
    </row>
    <row r="56" spans="1:15" ht="25.5">
      <c r="A56" s="5" t="s">
        <v>413</v>
      </c>
      <c r="B56" t="str">
        <f>HYPERLINK("https://www.onsemi.com/PowerSolutions/product.do?id=74AC244","74AC244")</f>
        <v>74AC244</v>
      </c>
      <c r="C56" t="str">
        <f>HYPERLINK("https://www.onsemi.com/pub/Collateral/74ACT244-D.pdf","74ACT244/D (518kB)")</f>
        <v>74ACT244/D (518kB)</v>
      </c>
      <c r="D56" t="s">
        <v>149</v>
      </c>
      <c r="E56" s="2" t="s">
        <v>23</v>
      </c>
      <c r="F56" t="s">
        <v>14</v>
      </c>
      <c r="H56" s="2" t="s">
        <v>68</v>
      </c>
      <c r="I56" s="2" t="s">
        <v>121</v>
      </c>
      <c r="J56" s="2" t="s">
        <v>82</v>
      </c>
      <c r="K56" s="2" t="s">
        <v>83</v>
      </c>
      <c r="L56" s="2" t="s">
        <v>151</v>
      </c>
      <c r="M56" s="2"/>
      <c r="N56" s="2" t="s">
        <v>86</v>
      </c>
      <c r="O56" s="2" t="s">
        <v>152</v>
      </c>
    </row>
    <row r="57" spans="1:15" ht="25.5">
      <c r="A57" s="5" t="s">
        <v>413</v>
      </c>
      <c r="B57" t="str">
        <f>HYPERLINK("https://www.onsemi.com/PowerSolutions/product.do?id=74AC540","74AC540")</f>
        <v>74AC540</v>
      </c>
      <c r="C57" t="str">
        <f>HYPERLINK("https://www.onsemi.com/pub/Collateral/74AC540-D.pdf","74AC540/D (214kB)")</f>
        <v>74AC540/D (214kB)</v>
      </c>
      <c r="D57" t="s">
        <v>149</v>
      </c>
      <c r="E57" s="2" t="s">
        <v>23</v>
      </c>
      <c r="F57" t="s">
        <v>14</v>
      </c>
      <c r="H57" s="2" t="s">
        <v>68</v>
      </c>
      <c r="I57" s="2" t="s">
        <v>121</v>
      </c>
      <c r="J57" s="2" t="s">
        <v>82</v>
      </c>
      <c r="K57" s="2" t="s">
        <v>83</v>
      </c>
      <c r="L57" s="2" t="s">
        <v>108</v>
      </c>
      <c r="M57" s="2"/>
      <c r="N57" s="2" t="s">
        <v>86</v>
      </c>
      <c r="O57" s="2" t="s">
        <v>150</v>
      </c>
    </row>
    <row r="58" spans="1:15" ht="25.5">
      <c r="A58" s="5" t="s">
        <v>413</v>
      </c>
      <c r="B58" t="str">
        <f>HYPERLINK("https://www.onsemi.com/PowerSolutions/product.do?id=74AC541","74AC541")</f>
        <v>74AC541</v>
      </c>
      <c r="C58" t="str">
        <f>HYPERLINK("https://www.onsemi.com/pub/Collateral/74ACT541-D.pdf","74ACT541/D (460kB)")</f>
        <v>74ACT541/D (460kB)</v>
      </c>
      <c r="D58" t="s">
        <v>149</v>
      </c>
      <c r="E58" s="2" t="s">
        <v>23</v>
      </c>
      <c r="F58" t="s">
        <v>14</v>
      </c>
      <c r="H58" s="2" t="s">
        <v>68</v>
      </c>
      <c r="I58" s="2" t="s">
        <v>121</v>
      </c>
      <c r="J58" s="2" t="s">
        <v>82</v>
      </c>
      <c r="K58" s="2" t="s">
        <v>83</v>
      </c>
      <c r="L58" s="2" t="s">
        <v>108</v>
      </c>
      <c r="M58" s="2"/>
      <c r="N58" s="2" t="s">
        <v>86</v>
      </c>
      <c r="O58" s="2" t="s">
        <v>152</v>
      </c>
    </row>
    <row r="59" spans="1:15" ht="25.5">
      <c r="A59" s="5" t="s">
        <v>413</v>
      </c>
      <c r="B59" t="str">
        <f>HYPERLINK("https://www.onsemi.com/PowerSolutions/product.do?id=74ACT04","74ACT04")</f>
        <v>74ACT04</v>
      </c>
      <c r="C59" t="str">
        <f>HYPERLINK("https://www.onsemi.com/pub/Collateral/74ACT04-D.pdf","74ACT04/D (452kB)")</f>
        <v>74ACT04/D (452kB)</v>
      </c>
      <c r="D59" t="s">
        <v>145</v>
      </c>
      <c r="E59" s="2" t="s">
        <v>23</v>
      </c>
      <c r="F59" t="s">
        <v>14</v>
      </c>
      <c r="H59" s="2" t="s">
        <v>83</v>
      </c>
      <c r="I59" s="2" t="s">
        <v>117</v>
      </c>
      <c r="J59" s="2" t="s">
        <v>71</v>
      </c>
      <c r="K59" s="2" t="s">
        <v>89</v>
      </c>
      <c r="L59" s="2" t="s">
        <v>83</v>
      </c>
      <c r="M59" s="2"/>
      <c r="N59" s="2" t="s">
        <v>86</v>
      </c>
      <c r="O59" s="2" t="s">
        <v>146</v>
      </c>
    </row>
    <row r="60" spans="1:15" ht="25.5">
      <c r="A60" s="5" t="s">
        <v>413</v>
      </c>
      <c r="B60" t="str">
        <f>HYPERLINK("https://www.onsemi.com/PowerSolutions/product.do?id=74ACT14","74ACT14")</f>
        <v>74ACT14</v>
      </c>
      <c r="C60" t="str">
        <f>HYPERLINK("https://www.onsemi.com/pub/Collateral/74ACT14-D.pdf","74ACT14/D (369kB)")</f>
        <v>74ACT14/D (369kB)</v>
      </c>
      <c r="D60" t="s">
        <v>147</v>
      </c>
      <c r="E60" s="2" t="s">
        <v>23</v>
      </c>
      <c r="F60" t="s">
        <v>14</v>
      </c>
      <c r="H60" s="2" t="s">
        <v>83</v>
      </c>
      <c r="I60" s="2" t="s">
        <v>117</v>
      </c>
      <c r="J60" s="2" t="s">
        <v>71</v>
      </c>
      <c r="K60" s="2" t="s">
        <v>89</v>
      </c>
      <c r="L60" s="2" t="s">
        <v>68</v>
      </c>
      <c r="M60" s="2"/>
      <c r="N60" s="2" t="s">
        <v>86</v>
      </c>
      <c r="O60" s="2" t="s">
        <v>146</v>
      </c>
    </row>
    <row r="61" spans="1:15" ht="25.5">
      <c r="A61" s="5" t="s">
        <v>413</v>
      </c>
      <c r="B61" t="str">
        <f>HYPERLINK("https://www.onsemi.com/PowerSolutions/product.do?id=74ACT240","74ACT240")</f>
        <v>74ACT240</v>
      </c>
      <c r="C61" t="str">
        <f>HYPERLINK("https://www.onsemi.com/pub/Collateral/74AC240-D.pdf","74AC240/D (449kB)")</f>
        <v>74AC240/D (449kB)</v>
      </c>
      <c r="D61" t="s">
        <v>149</v>
      </c>
      <c r="E61" s="2" t="s">
        <v>23</v>
      </c>
      <c r="F61" t="s">
        <v>14</v>
      </c>
      <c r="H61" s="2" t="s">
        <v>68</v>
      </c>
      <c r="I61" s="2" t="s">
        <v>121</v>
      </c>
      <c r="J61" s="2" t="s">
        <v>71</v>
      </c>
      <c r="K61" s="2" t="s">
        <v>89</v>
      </c>
      <c r="L61" s="2" t="s">
        <v>83</v>
      </c>
      <c r="M61" s="2"/>
      <c r="N61" s="2" t="s">
        <v>86</v>
      </c>
      <c r="O61" s="2" t="s">
        <v>152</v>
      </c>
    </row>
    <row r="62" spans="1:15" ht="25.5">
      <c r="A62" s="5" t="s">
        <v>413</v>
      </c>
      <c r="B62" t="str">
        <f>HYPERLINK("https://www.onsemi.com/PowerSolutions/product.do?id=74ACT244","74ACT244")</f>
        <v>74ACT244</v>
      </c>
      <c r="C62" t="str">
        <f>HYPERLINK("https://www.onsemi.com/pub/Collateral/74ACT244-D.pdf","74ACT244/D (518kB)")</f>
        <v>74ACT244/D (518kB)</v>
      </c>
      <c r="D62" t="s">
        <v>149</v>
      </c>
      <c r="E62" s="2" t="s">
        <v>23</v>
      </c>
      <c r="F62" t="s">
        <v>14</v>
      </c>
      <c r="H62" s="2" t="s">
        <v>68</v>
      </c>
      <c r="I62" s="2" t="s">
        <v>121</v>
      </c>
      <c r="J62" s="2" t="s">
        <v>71</v>
      </c>
      <c r="K62" s="2" t="s">
        <v>89</v>
      </c>
      <c r="L62" s="2" t="s">
        <v>148</v>
      </c>
      <c r="M62" s="2"/>
      <c r="N62" s="2" t="s">
        <v>86</v>
      </c>
      <c r="O62" s="2" t="s">
        <v>152</v>
      </c>
    </row>
    <row r="63" spans="1:15" ht="25.5">
      <c r="A63" s="5" t="s">
        <v>413</v>
      </c>
      <c r="B63" t="str">
        <f>HYPERLINK("https://www.onsemi.com/PowerSolutions/product.do?id=74ACT541","74ACT541")</f>
        <v>74ACT541</v>
      </c>
      <c r="C63" t="str">
        <f>HYPERLINK("https://www.onsemi.com/pub/Collateral/74ACT541-D.pdf","74ACT541/D (460kB)")</f>
        <v>74ACT541/D (460kB)</v>
      </c>
      <c r="D63" t="s">
        <v>149</v>
      </c>
      <c r="E63" s="2" t="s">
        <v>23</v>
      </c>
      <c r="F63" t="s">
        <v>14</v>
      </c>
      <c r="H63" s="2" t="s">
        <v>68</v>
      </c>
      <c r="I63" s="2" t="s">
        <v>121</v>
      </c>
      <c r="J63" s="2" t="s">
        <v>71</v>
      </c>
      <c r="K63" s="2" t="s">
        <v>89</v>
      </c>
      <c r="L63" s="2" t="s">
        <v>89</v>
      </c>
      <c r="M63" s="2"/>
      <c r="N63" s="2" t="s">
        <v>86</v>
      </c>
      <c r="O63" s="2" t="s">
        <v>152</v>
      </c>
    </row>
    <row r="64" spans="1:15" ht="25.5">
      <c r="A64" s="5" t="s">
        <v>413</v>
      </c>
      <c r="B64" t="str">
        <f>HYPERLINK("https://www.onsemi.com/PowerSolutions/product.do?id=74ALVC162244","74ALVC162244")</f>
        <v>74ALVC162244</v>
      </c>
      <c r="C64" t="str">
        <f>HYPERLINK("https://www.onsemi.com/pub/Collateral/74ALVC162244-D.pdf","74ALVC162244/D (217kB)")</f>
        <v>74ALVC162244/D (217kB)</v>
      </c>
      <c r="D64" t="s">
        <v>153</v>
      </c>
      <c r="E64" s="2" t="s">
        <v>23</v>
      </c>
      <c r="F64" t="s">
        <v>14</v>
      </c>
      <c r="H64" s="2" t="s">
        <v>72</v>
      </c>
      <c r="I64" s="2" t="s">
        <v>121</v>
      </c>
      <c r="J64" s="2" t="s">
        <v>127</v>
      </c>
      <c r="K64" s="2" t="s">
        <v>131</v>
      </c>
      <c r="L64" s="2" t="s">
        <v>16</v>
      </c>
      <c r="M64" s="2"/>
      <c r="N64" s="2" t="s">
        <v>86</v>
      </c>
      <c r="O64" s="2" t="s">
        <v>154</v>
      </c>
    </row>
    <row r="65" spans="1:15" ht="25.5">
      <c r="A65" s="5" t="s">
        <v>413</v>
      </c>
      <c r="B65" t="str">
        <f>HYPERLINK("https://www.onsemi.com/PowerSolutions/product.do?id=74ALVC16244","74ALVC16244")</f>
        <v>74ALVC16244</v>
      </c>
      <c r="C65" t="str">
        <f>HYPERLINK("https://www.onsemi.com/pub/Collateral/74ALVC16244-D.PDF","74ALVC16244/D (258.0kB)")</f>
        <v>74ALVC16244/D (258.0kB)</v>
      </c>
      <c r="D65" t="s">
        <v>155</v>
      </c>
      <c r="E65" s="2" t="s">
        <v>23</v>
      </c>
      <c r="F65" t="s">
        <v>14</v>
      </c>
      <c r="H65" s="2" t="s">
        <v>72</v>
      </c>
      <c r="I65" s="2" t="s">
        <v>121</v>
      </c>
      <c r="J65" s="2" t="s">
        <v>127</v>
      </c>
      <c r="K65" s="2" t="s">
        <v>131</v>
      </c>
      <c r="L65" s="2" t="s">
        <v>16</v>
      </c>
      <c r="M65" s="2"/>
      <c r="N65" s="2" t="s">
        <v>86</v>
      </c>
      <c r="O65" s="2" t="s">
        <v>154</v>
      </c>
    </row>
    <row r="66" spans="1:15" ht="51">
      <c r="A66" s="5" t="s">
        <v>413</v>
      </c>
      <c r="B66" t="str">
        <f>HYPERLINK("https://www.onsemi.com/PowerSolutions/product.do?id=74LCX04","74LCX04")</f>
        <v>74LCX04</v>
      </c>
      <c r="C66" t="str">
        <f>HYPERLINK("https://www.onsemi.com/pub/Collateral/74LCX04-D.pdf","74LCX04/D (1023kB)")</f>
        <v>74LCX04/D (1023kB)</v>
      </c>
      <c r="D66" t="s">
        <v>156</v>
      </c>
      <c r="E66" s="2" t="s">
        <v>23</v>
      </c>
      <c r="F66" t="s">
        <v>14</v>
      </c>
      <c r="H66" s="2" t="s">
        <v>83</v>
      </c>
      <c r="I66" s="2" t="s">
        <v>117</v>
      </c>
      <c r="J66" s="2" t="s">
        <v>82</v>
      </c>
      <c r="K66" s="2" t="s">
        <v>131</v>
      </c>
      <c r="L66" s="2" t="s">
        <v>97</v>
      </c>
      <c r="M66" s="2"/>
      <c r="N66" s="2" t="s">
        <v>86</v>
      </c>
      <c r="O66" s="2" t="s">
        <v>157</v>
      </c>
    </row>
    <row r="67" spans="1:15" ht="25.5">
      <c r="A67" s="5" t="s">
        <v>413</v>
      </c>
      <c r="B67" t="str">
        <f>HYPERLINK("https://www.onsemi.com/PowerSolutions/product.do?id=74LCX06","74LCX06")</f>
        <v>74LCX06</v>
      </c>
      <c r="C67" t="str">
        <f>HYPERLINK("https://www.onsemi.com/pub/Collateral/74LCX06-D.pdf","74LCX06/D (417kB)")</f>
        <v>74LCX06/D (417kB)</v>
      </c>
      <c r="D67" t="s">
        <v>158</v>
      </c>
      <c r="E67" s="2" t="s">
        <v>23</v>
      </c>
      <c r="F67" t="s">
        <v>14</v>
      </c>
      <c r="H67" s="2" t="s">
        <v>83</v>
      </c>
      <c r="I67" s="2" t="s">
        <v>117</v>
      </c>
      <c r="J67" s="2" t="s">
        <v>82</v>
      </c>
      <c r="K67" s="2" t="s">
        <v>131</v>
      </c>
      <c r="L67" s="2" t="s">
        <v>159</v>
      </c>
      <c r="M67" s="2"/>
      <c r="N67" s="2" t="s">
        <v>86</v>
      </c>
      <c r="O67" s="2" t="s">
        <v>146</v>
      </c>
    </row>
    <row r="68" spans="1:15" ht="38.25">
      <c r="A68" s="5" t="s">
        <v>413</v>
      </c>
      <c r="B68" t="str">
        <f>HYPERLINK("https://www.onsemi.com/PowerSolutions/product.do?id=74LCX07","74LCX07")</f>
        <v>74LCX07</v>
      </c>
      <c r="C68" t="str">
        <f>HYPERLINK("https://www.onsemi.com/pub/Collateral/74LCX07-D.pdf","74LCX07/D (929kB)")</f>
        <v>74LCX07/D (929kB)</v>
      </c>
      <c r="D68" t="s">
        <v>160</v>
      </c>
      <c r="E68" s="2" t="s">
        <v>23</v>
      </c>
      <c r="F68" t="s">
        <v>14</v>
      </c>
      <c r="H68" s="2" t="s">
        <v>83</v>
      </c>
      <c r="I68" s="2" t="s">
        <v>117</v>
      </c>
      <c r="J68" s="2" t="s">
        <v>82</v>
      </c>
      <c r="K68" s="2" t="s">
        <v>89</v>
      </c>
      <c r="L68" s="2" t="s">
        <v>159</v>
      </c>
      <c r="M68" s="2"/>
      <c r="N68" s="2" t="s">
        <v>143</v>
      </c>
      <c r="O68" s="2" t="s">
        <v>161</v>
      </c>
    </row>
    <row r="69" spans="1:15" ht="51">
      <c r="A69" s="5" t="s">
        <v>413</v>
      </c>
      <c r="B69" t="str">
        <f>HYPERLINK("https://www.onsemi.com/PowerSolutions/product.do?id=74LCX08","74LCX08")</f>
        <v>74LCX08</v>
      </c>
      <c r="C69" t="str">
        <f>HYPERLINK("https://www.onsemi.com/pub/Collateral/74LCX08-D.PDF","74LCX08/D (740kB)")</f>
        <v>74LCX08/D (740kB)</v>
      </c>
      <c r="D69" t="s">
        <v>162</v>
      </c>
      <c r="E69" s="2" t="s">
        <v>23</v>
      </c>
      <c r="F69" t="s">
        <v>14</v>
      </c>
      <c r="H69" s="2" t="s">
        <v>108</v>
      </c>
      <c r="I69" s="2" t="s">
        <v>117</v>
      </c>
      <c r="J69" s="2" t="s">
        <v>82</v>
      </c>
      <c r="K69" s="2" t="s">
        <v>131</v>
      </c>
      <c r="L69" s="2" t="s">
        <v>89</v>
      </c>
      <c r="M69" s="2"/>
      <c r="N69" s="2" t="s">
        <v>86</v>
      </c>
      <c r="O69" s="2" t="s">
        <v>157</v>
      </c>
    </row>
    <row r="70" spans="1:15" ht="38.25">
      <c r="A70" s="5" t="s">
        <v>413</v>
      </c>
      <c r="B70" t="str">
        <f>HYPERLINK("https://www.onsemi.com/PowerSolutions/product.do?id=74LCX11","74LCX11")</f>
        <v>74LCX11</v>
      </c>
      <c r="C70" t="str">
        <f>HYPERLINK("https://www.onsemi.com/pub/Collateral/74LCX11-D.pdf","74LCX11/D (973kB)")</f>
        <v>74LCX11/D (973kB)</v>
      </c>
      <c r="D70" t="s">
        <v>163</v>
      </c>
      <c r="E70" s="2" t="s">
        <v>23</v>
      </c>
      <c r="F70" t="s">
        <v>14</v>
      </c>
      <c r="H70" s="2" t="s">
        <v>16</v>
      </c>
      <c r="I70" s="2" t="s">
        <v>117</v>
      </c>
      <c r="J70" s="2" t="s">
        <v>82</v>
      </c>
      <c r="K70" s="2" t="s">
        <v>131</v>
      </c>
      <c r="L70" s="2" t="s">
        <v>83</v>
      </c>
      <c r="M70" s="2"/>
      <c r="N70" s="2" t="s">
        <v>86</v>
      </c>
      <c r="O70" s="2" t="s">
        <v>164</v>
      </c>
    </row>
    <row r="71" spans="1:15" ht="51">
      <c r="A71" s="5" t="s">
        <v>413</v>
      </c>
      <c r="B71" t="str">
        <f>HYPERLINK("https://www.onsemi.com/PowerSolutions/product.do?id=74LCX125","74LCX125")</f>
        <v>74LCX125</v>
      </c>
      <c r="C71" t="str">
        <f>HYPERLINK("https://www.onsemi.com/pub/Collateral/74LCX125-D.pdf","74LCX125/D (1031kB)")</f>
        <v>74LCX125/D (1031kB)</v>
      </c>
      <c r="D71" t="s">
        <v>165</v>
      </c>
      <c r="E71" s="2" t="s">
        <v>23</v>
      </c>
      <c r="F71" t="s">
        <v>14</v>
      </c>
      <c r="H71" s="2" t="s">
        <v>108</v>
      </c>
      <c r="I71" s="2" t="s">
        <v>121</v>
      </c>
      <c r="J71" s="2" t="s">
        <v>82</v>
      </c>
      <c r="K71" s="2" t="s">
        <v>131</v>
      </c>
      <c r="L71" s="2" t="s">
        <v>83</v>
      </c>
      <c r="M71" s="2"/>
      <c r="N71" s="2" t="s">
        <v>86</v>
      </c>
      <c r="O71" s="2" t="s">
        <v>157</v>
      </c>
    </row>
    <row r="72" spans="1:15" ht="38.25">
      <c r="A72" s="5" t="s">
        <v>413</v>
      </c>
      <c r="B72" t="str">
        <f>HYPERLINK("https://www.onsemi.com/PowerSolutions/product.do?id=74LCX126","74LCX126")</f>
        <v>74LCX126</v>
      </c>
      <c r="C72" t="str">
        <f>HYPERLINK("https://www.onsemi.com/pub/Collateral/74LCX126-D.pdf","74LCX126/D (953kB)")</f>
        <v>74LCX126/D (953kB)</v>
      </c>
      <c r="D72" t="s">
        <v>166</v>
      </c>
      <c r="E72" s="2" t="s">
        <v>23</v>
      </c>
      <c r="F72" t="s">
        <v>14</v>
      </c>
      <c r="H72" s="2" t="s">
        <v>108</v>
      </c>
      <c r="I72" s="2" t="s">
        <v>121</v>
      </c>
      <c r="J72" s="2" t="s">
        <v>82</v>
      </c>
      <c r="K72" s="2" t="s">
        <v>131</v>
      </c>
      <c r="L72" s="2" t="s">
        <v>89</v>
      </c>
      <c r="M72" s="2"/>
      <c r="N72" s="2" t="s">
        <v>86</v>
      </c>
      <c r="O72" s="2" t="s">
        <v>164</v>
      </c>
    </row>
    <row r="73" spans="1:15" ht="51">
      <c r="A73" s="5" t="s">
        <v>413</v>
      </c>
      <c r="B73" t="str">
        <f>HYPERLINK("https://www.onsemi.com/PowerSolutions/product.do?id=74LCX14","74LCX14")</f>
        <v>74LCX14</v>
      </c>
      <c r="C73" t="str">
        <f>HYPERLINK("https://www.onsemi.com/pub/Collateral/74LCX14-D.pdf","74LCX14/D (1026kB)")</f>
        <v>74LCX14/D (1026kB)</v>
      </c>
      <c r="D73" t="s">
        <v>167</v>
      </c>
      <c r="E73" s="2" t="s">
        <v>23</v>
      </c>
      <c r="F73" t="s">
        <v>14</v>
      </c>
      <c r="H73" s="2" t="s">
        <v>83</v>
      </c>
      <c r="I73" s="2" t="s">
        <v>117</v>
      </c>
      <c r="J73" s="2" t="s">
        <v>82</v>
      </c>
      <c r="K73" s="2" t="s">
        <v>131</v>
      </c>
      <c r="L73" s="2" t="s">
        <v>168</v>
      </c>
      <c r="M73" s="2"/>
      <c r="N73" s="2" t="s">
        <v>86</v>
      </c>
      <c r="O73" s="2" t="s">
        <v>157</v>
      </c>
    </row>
    <row r="74" spans="1:15" ht="25.5">
      <c r="A74" s="5" t="s">
        <v>413</v>
      </c>
      <c r="B74" t="str">
        <f>HYPERLINK("https://www.onsemi.com/PowerSolutions/product.do?id=74LCX162244","74LCX162244")</f>
        <v>74LCX162244</v>
      </c>
      <c r="C74" t="str">
        <f>HYPERLINK("https://www.onsemi.com/pub/Collateral/74LCX162244-D.pdf","74LCX162244/D (334kB)")</f>
        <v>74LCX162244/D (334kB)</v>
      </c>
      <c r="D74" t="s">
        <v>169</v>
      </c>
      <c r="E74" s="2" t="s">
        <v>23</v>
      </c>
      <c r="F74" t="s">
        <v>14</v>
      </c>
      <c r="H74" s="2" t="s">
        <v>72</v>
      </c>
      <c r="I74" s="2" t="s">
        <v>121</v>
      </c>
      <c r="J74" s="2" t="s">
        <v>82</v>
      </c>
      <c r="K74" s="2" t="s">
        <v>131</v>
      </c>
      <c r="L74" s="2" t="s">
        <v>170</v>
      </c>
      <c r="M74" s="2"/>
      <c r="N74" s="2" t="s">
        <v>171</v>
      </c>
      <c r="O74" s="2" t="s">
        <v>154</v>
      </c>
    </row>
    <row r="75" spans="1:15" ht="25.5">
      <c r="A75" s="5" t="s">
        <v>413</v>
      </c>
      <c r="B75" t="str">
        <f>HYPERLINK("https://www.onsemi.com/PowerSolutions/product.do?id=74LCX16240","74LCX16240")</f>
        <v>74LCX16240</v>
      </c>
      <c r="C75" t="str">
        <f>HYPERLINK("https://www.onsemi.com/pub/Collateral/74LCX16240-D.pdf","74LCX16240/D (229kB)")</f>
        <v>74LCX16240/D (229kB)</v>
      </c>
      <c r="D75" t="s">
        <v>172</v>
      </c>
      <c r="E75" s="2" t="s">
        <v>23</v>
      </c>
      <c r="F75" t="s">
        <v>14</v>
      </c>
      <c r="H75" s="2" t="s">
        <v>72</v>
      </c>
      <c r="I75" s="2" t="s">
        <v>121</v>
      </c>
      <c r="J75" s="2" t="s">
        <v>82</v>
      </c>
      <c r="K75" s="2" t="s">
        <v>131</v>
      </c>
      <c r="L75" s="2" t="s">
        <v>71</v>
      </c>
      <c r="M75" s="2"/>
      <c r="N75" s="2" t="s">
        <v>86</v>
      </c>
      <c r="O75" s="2" t="s">
        <v>154</v>
      </c>
    </row>
    <row r="76" spans="1:15" ht="25.5">
      <c r="A76" s="5" t="s">
        <v>413</v>
      </c>
      <c r="B76" t="str">
        <f>HYPERLINK("https://www.onsemi.com/PowerSolutions/product.do?id=74LCX16244","74LCX16244")</f>
        <v>74LCX16244</v>
      </c>
      <c r="C76" t="str">
        <f>HYPERLINK("https://www.onsemi.com/pub/Collateral/74LCX16244-D.pdf","74LCX16244/D (241kB)")</f>
        <v>74LCX16244/D (241kB)</v>
      </c>
      <c r="D76" t="s">
        <v>173</v>
      </c>
      <c r="E76" s="2" t="s">
        <v>23</v>
      </c>
      <c r="F76" t="s">
        <v>14</v>
      </c>
      <c r="H76" s="2" t="s">
        <v>72</v>
      </c>
      <c r="I76" s="2" t="s">
        <v>121</v>
      </c>
      <c r="J76" s="2" t="s">
        <v>82</v>
      </c>
      <c r="K76" s="2" t="s">
        <v>131</v>
      </c>
      <c r="L76" s="2" t="s">
        <v>71</v>
      </c>
      <c r="M76" s="2"/>
      <c r="N76" s="2" t="s">
        <v>86</v>
      </c>
      <c r="O76" s="2" t="s">
        <v>154</v>
      </c>
    </row>
    <row r="77" spans="1:15">
      <c r="A77" s="5" t="s">
        <v>413</v>
      </c>
      <c r="B77" t="str">
        <f>HYPERLINK("https://www.onsemi.com/PowerSolutions/product.do?id=74LCX2244","74LCX2244")</f>
        <v>74LCX2244</v>
      </c>
      <c r="C77" t="str">
        <f>HYPERLINK("https://www.onsemi.com/pub/Collateral/74LCX2244-D.PDF","74LCX2244/D (290kB)")</f>
        <v>74LCX2244/D (290kB)</v>
      </c>
      <c r="D77" t="s">
        <v>174</v>
      </c>
      <c r="E77" s="2" t="s">
        <v>175</v>
      </c>
      <c r="F77" t="s">
        <v>14</v>
      </c>
      <c r="H77" s="2" t="s">
        <v>68</v>
      </c>
      <c r="I77" s="2" t="s">
        <v>121</v>
      </c>
      <c r="J77" s="2" t="s">
        <v>82</v>
      </c>
      <c r="K77" s="2" t="s">
        <v>131</v>
      </c>
      <c r="L77" s="2" t="s">
        <v>118</v>
      </c>
      <c r="M77" s="2"/>
      <c r="N77" s="2" t="s">
        <v>171</v>
      </c>
      <c r="O77" s="2" t="s">
        <v>176</v>
      </c>
    </row>
    <row r="78" spans="1:15" ht="38.25">
      <c r="A78" s="5" t="s">
        <v>413</v>
      </c>
      <c r="B78" t="str">
        <f>HYPERLINK("https://www.onsemi.com/PowerSolutions/product.do?id=74LCX240","74LCX240")</f>
        <v>74LCX240</v>
      </c>
      <c r="C78" t="str">
        <f>HYPERLINK("https://www.onsemi.com/pub/Collateral/74LCX240-D.pdf","74LCX240/D (553kB)")</f>
        <v>74LCX240/D (553kB)</v>
      </c>
      <c r="D78" t="s">
        <v>177</v>
      </c>
      <c r="E78" s="2" t="s">
        <v>23</v>
      </c>
      <c r="F78" t="s">
        <v>14</v>
      </c>
      <c r="H78" s="2" t="s">
        <v>68</v>
      </c>
      <c r="I78" s="2" t="s">
        <v>121</v>
      </c>
      <c r="J78" s="2" t="s">
        <v>82</v>
      </c>
      <c r="K78" s="2" t="s">
        <v>131</v>
      </c>
      <c r="L78" s="2" t="s">
        <v>168</v>
      </c>
      <c r="M78" s="2"/>
      <c r="N78" s="2" t="s">
        <v>86</v>
      </c>
      <c r="O78" s="2" t="s">
        <v>178</v>
      </c>
    </row>
    <row r="79" spans="1:15" ht="51">
      <c r="A79" s="5" t="s">
        <v>413</v>
      </c>
      <c r="B79" t="str">
        <f>HYPERLINK("https://www.onsemi.com/PowerSolutions/product.do?id=74LCX244","74LCX244")</f>
        <v>74LCX244</v>
      </c>
      <c r="C79" t="str">
        <f>HYPERLINK("https://www.onsemi.com/pub/Collateral/74LCX244-D.pdf","74LCX244/D (896kB)")</f>
        <v>74LCX244/D (896kB)</v>
      </c>
      <c r="D79" t="s">
        <v>179</v>
      </c>
      <c r="E79" s="2" t="s">
        <v>23</v>
      </c>
      <c r="F79" t="s">
        <v>14</v>
      </c>
      <c r="H79" s="2" t="s">
        <v>68</v>
      </c>
      <c r="I79" s="2" t="s">
        <v>121</v>
      </c>
      <c r="J79" s="2" t="s">
        <v>82</v>
      </c>
      <c r="K79" s="2" t="s">
        <v>131</v>
      </c>
      <c r="L79" s="2" t="s">
        <v>168</v>
      </c>
      <c r="M79" s="2"/>
      <c r="N79" s="2" t="s">
        <v>86</v>
      </c>
      <c r="O79" s="2" t="s">
        <v>180</v>
      </c>
    </row>
    <row r="80" spans="1:15" ht="51">
      <c r="A80" s="5" t="s">
        <v>413</v>
      </c>
      <c r="B80" t="str">
        <f>HYPERLINK("https://www.onsemi.com/PowerSolutions/product.do?id=74LCX32","74LCX32")</f>
        <v>74LCX32</v>
      </c>
      <c r="C80" t="str">
        <f>HYPERLINK("https://www.onsemi.com/pub/Collateral/74LCX32-D.pdf","74LCX32/D (1022kB)")</f>
        <v>74LCX32/D (1022kB)</v>
      </c>
      <c r="D80" t="s">
        <v>181</v>
      </c>
      <c r="E80" s="2" t="s">
        <v>23</v>
      </c>
      <c r="F80" t="s">
        <v>14</v>
      </c>
      <c r="H80" s="2" t="s">
        <v>108</v>
      </c>
      <c r="I80" s="2" t="s">
        <v>121</v>
      </c>
      <c r="J80" s="2" t="s">
        <v>82</v>
      </c>
      <c r="K80" s="2" t="s">
        <v>131</v>
      </c>
      <c r="L80" s="2" t="s">
        <v>89</v>
      </c>
      <c r="M80" s="2"/>
      <c r="N80" s="2" t="s">
        <v>86</v>
      </c>
      <c r="O80" s="2" t="s">
        <v>157</v>
      </c>
    </row>
    <row r="81" spans="1:15">
      <c r="A81" s="5" t="s">
        <v>413</v>
      </c>
      <c r="B81" t="str">
        <f>HYPERLINK("https://www.onsemi.com/PowerSolutions/product.do?id=74LCX540","74LCX540")</f>
        <v>74LCX540</v>
      </c>
      <c r="C81" t="str">
        <f>HYPERLINK("https://www.onsemi.com/pub/Collateral/74LCX540-D.pdf","74LCX540/D (868kB)")</f>
        <v>74LCX540/D (868kB)</v>
      </c>
      <c r="D81" t="s">
        <v>177</v>
      </c>
      <c r="E81" s="2" t="s">
        <v>175</v>
      </c>
      <c r="F81" t="s">
        <v>14</v>
      </c>
      <c r="H81" s="2" t="s">
        <v>68</v>
      </c>
      <c r="I81" s="2" t="s">
        <v>121</v>
      </c>
      <c r="J81" s="2" t="s">
        <v>82</v>
      </c>
      <c r="K81" s="2" t="s">
        <v>131</v>
      </c>
      <c r="L81" s="2" t="s">
        <v>168</v>
      </c>
      <c r="M81" s="2"/>
      <c r="N81" s="2" t="s">
        <v>86</v>
      </c>
      <c r="O81" s="2" t="s">
        <v>176</v>
      </c>
    </row>
    <row r="82" spans="1:15" ht="25.5">
      <c r="A82" s="5" t="s">
        <v>413</v>
      </c>
      <c r="B82" t="str">
        <f>HYPERLINK("https://www.onsemi.com/PowerSolutions/product.do?id=74LCX541","74LCX541")</f>
        <v>74LCX541</v>
      </c>
      <c r="C82" t="str">
        <f>HYPERLINK("https://www.onsemi.com/pub/Collateral/74LCX541-D.pdf","74LCX541/D (893kB)")</f>
        <v>74LCX541/D (893kB)</v>
      </c>
      <c r="D82" t="s">
        <v>177</v>
      </c>
      <c r="E82" s="2" t="s">
        <v>23</v>
      </c>
      <c r="F82" t="s">
        <v>14</v>
      </c>
      <c r="H82" s="2" t="s">
        <v>68</v>
      </c>
      <c r="I82" s="2" t="s">
        <v>121</v>
      </c>
      <c r="J82" s="2" t="s">
        <v>82</v>
      </c>
      <c r="K82" s="2" t="s">
        <v>131</v>
      </c>
      <c r="L82" s="2" t="s">
        <v>168</v>
      </c>
      <c r="M82" s="2"/>
      <c r="N82" s="2" t="s">
        <v>86</v>
      </c>
      <c r="O82" s="2" t="s">
        <v>152</v>
      </c>
    </row>
    <row r="83" spans="1:15" ht="25.5">
      <c r="A83" s="5" t="s">
        <v>413</v>
      </c>
      <c r="B83" t="str">
        <f>HYPERLINK("https://www.onsemi.com/PowerSolutions/product.do?id=74LCX760","74LCX760")</f>
        <v>74LCX760</v>
      </c>
      <c r="C83" t="str">
        <f>HYPERLINK("https://www.onsemi.com/pub/Collateral/74LCX760-D.pdf","74LCX760/D (235kB)")</f>
        <v>74LCX760/D (235kB)</v>
      </c>
      <c r="D83" t="s">
        <v>183</v>
      </c>
      <c r="E83" s="2" t="s">
        <v>23</v>
      </c>
      <c r="F83" t="s">
        <v>14</v>
      </c>
      <c r="H83" s="2" t="s">
        <v>68</v>
      </c>
      <c r="I83" s="2" t="s">
        <v>121</v>
      </c>
      <c r="J83" s="2" t="s">
        <v>82</v>
      </c>
      <c r="K83" s="2" t="s">
        <v>131</v>
      </c>
      <c r="L83" s="2" t="s">
        <v>68</v>
      </c>
      <c r="M83" s="2"/>
      <c r="N83" s="2" t="s">
        <v>86</v>
      </c>
      <c r="O83" s="2" t="s">
        <v>152</v>
      </c>
    </row>
    <row r="84" spans="1:15" ht="25.5">
      <c r="A84" s="5" t="s">
        <v>413</v>
      </c>
      <c r="B84" t="str">
        <f>HYPERLINK("https://www.onsemi.com/PowerSolutions/product.do?id=74LCXH162244","74LCXH162244")</f>
        <v>74LCXH162244</v>
      </c>
      <c r="C84" t="str">
        <f>HYPERLINK("https://www.onsemi.com/pub/Collateral/74LCXH162244-D.pdf","74LCXH162244/D (233kB)")</f>
        <v>74LCXH162244/D (233kB)</v>
      </c>
      <c r="D84" t="s">
        <v>184</v>
      </c>
      <c r="E84" s="2" t="s">
        <v>23</v>
      </c>
      <c r="F84" t="s">
        <v>14</v>
      </c>
      <c r="H84" s="2" t="s">
        <v>72</v>
      </c>
      <c r="I84" s="2" t="s">
        <v>121</v>
      </c>
      <c r="J84" s="2" t="s">
        <v>82</v>
      </c>
      <c r="K84" s="2" t="s">
        <v>131</v>
      </c>
      <c r="L84" s="2" t="s">
        <v>170</v>
      </c>
      <c r="M84" s="2"/>
      <c r="N84" s="2" t="s">
        <v>171</v>
      </c>
      <c r="O84" s="2" t="s">
        <v>154</v>
      </c>
    </row>
    <row r="85" spans="1:15" ht="25.5">
      <c r="A85" s="5" t="s">
        <v>413</v>
      </c>
      <c r="B85" t="str">
        <f>HYPERLINK("https://www.onsemi.com/PowerSolutions/product.do?id=74LCXH16244","74LCXH16244")</f>
        <v>74LCXH16244</v>
      </c>
      <c r="C85" t="str">
        <f>HYPERLINK("https://www.onsemi.com/pub/Collateral/74LCXH16244-D.pdf","74LCXH16244/D (247kB)")</f>
        <v>74LCXH16244/D (247kB)</v>
      </c>
      <c r="D85" t="s">
        <v>185</v>
      </c>
      <c r="E85" s="2" t="s">
        <v>23</v>
      </c>
      <c r="F85" t="s">
        <v>14</v>
      </c>
      <c r="H85" s="2" t="s">
        <v>72</v>
      </c>
      <c r="I85" s="2" t="s">
        <v>121</v>
      </c>
      <c r="J85" s="2" t="s">
        <v>82</v>
      </c>
      <c r="K85" s="2" t="s">
        <v>131</v>
      </c>
      <c r="L85" s="2" t="s">
        <v>71</v>
      </c>
      <c r="M85" s="2"/>
      <c r="N85" s="2" t="s">
        <v>86</v>
      </c>
      <c r="O85" s="2" t="s">
        <v>154</v>
      </c>
    </row>
    <row r="86" spans="1:15" ht="25.5">
      <c r="A86" s="5" t="s">
        <v>413</v>
      </c>
      <c r="B86" t="str">
        <f>HYPERLINK("https://www.onsemi.com/PowerSolutions/product.do?id=74LCXZ16244","74LCXZ16244")</f>
        <v>74LCXZ16244</v>
      </c>
      <c r="C86" t="str">
        <f>HYPERLINK("https://www.onsemi.com/pub/Collateral/74LCXZ16244-D.pdf","74LCXZ16244/D (319kB)")</f>
        <v>74LCXZ16244/D (319kB)</v>
      </c>
      <c r="D86" t="s">
        <v>173</v>
      </c>
      <c r="E86" s="2" t="s">
        <v>23</v>
      </c>
      <c r="F86" t="s">
        <v>14</v>
      </c>
      <c r="H86" s="2" t="s">
        <v>72</v>
      </c>
      <c r="I86" s="2" t="s">
        <v>121</v>
      </c>
      <c r="J86" s="2" t="s">
        <v>186</v>
      </c>
      <c r="K86" s="2" t="s">
        <v>131</v>
      </c>
      <c r="L86" s="2" t="s">
        <v>71</v>
      </c>
      <c r="M86" s="2"/>
      <c r="N86" s="2" t="s">
        <v>86</v>
      </c>
      <c r="O86" s="2" t="s">
        <v>154</v>
      </c>
    </row>
    <row r="87" spans="1:15" ht="25.5">
      <c r="A87" s="5" t="s">
        <v>413</v>
      </c>
      <c r="B87" t="str">
        <f>HYPERLINK("https://www.onsemi.com/PowerSolutions/product.do?id=74LVT162244","74LVT162244")</f>
        <v>74LVT162244</v>
      </c>
      <c r="C87" t="str">
        <f>HYPERLINK("https://www.onsemi.com/pub/Collateral/74LVTH162244-D.pdf","74LVTH162244/D (213kB)")</f>
        <v>74LVTH162244/D (213kB)</v>
      </c>
      <c r="D87" t="s">
        <v>187</v>
      </c>
      <c r="E87" s="2" t="s">
        <v>23</v>
      </c>
      <c r="F87" t="s">
        <v>14</v>
      </c>
      <c r="H87" s="2" t="s">
        <v>72</v>
      </c>
      <c r="I87" s="2" t="s">
        <v>121</v>
      </c>
      <c r="J87" s="2" t="s">
        <v>186</v>
      </c>
      <c r="K87" s="2" t="s">
        <v>131</v>
      </c>
      <c r="L87" s="2" t="s">
        <v>108</v>
      </c>
      <c r="M87" s="2"/>
      <c r="N87" s="2" t="s">
        <v>171</v>
      </c>
      <c r="O87" s="2" t="s">
        <v>154</v>
      </c>
    </row>
    <row r="88" spans="1:15">
      <c r="A88" s="5" t="s">
        <v>413</v>
      </c>
      <c r="B88" t="str">
        <f>HYPERLINK("https://www.onsemi.com/PowerSolutions/product.do?id=74LVT2244","74LVT2244")</f>
        <v>74LVT2244</v>
      </c>
      <c r="C88" t="str">
        <f>HYPERLINK("https://www.onsemi.com/pub/Collateral/74LVTH2244-D.pdf","74LVTH2244/D (399kB)")</f>
        <v>74LVTH2244/D (399kB)</v>
      </c>
      <c r="D88" t="s">
        <v>188</v>
      </c>
      <c r="E88" s="2" t="s">
        <v>175</v>
      </c>
      <c r="F88" t="s">
        <v>14</v>
      </c>
      <c r="H88" s="2" t="s">
        <v>68</v>
      </c>
      <c r="I88" s="2" t="s">
        <v>121</v>
      </c>
      <c r="J88" s="2" t="s">
        <v>186</v>
      </c>
      <c r="K88" s="2" t="s">
        <v>131</v>
      </c>
      <c r="L88" s="2" t="s">
        <v>189</v>
      </c>
      <c r="M88" s="2"/>
      <c r="N88" s="2" t="s">
        <v>171</v>
      </c>
      <c r="O88" s="2" t="s">
        <v>176</v>
      </c>
    </row>
    <row r="89" spans="1:15" ht="25.5">
      <c r="A89" s="5" t="s">
        <v>413</v>
      </c>
      <c r="B89" t="str">
        <f>HYPERLINK("https://www.onsemi.com/PowerSolutions/product.do?id=74LVT244","74LVT244")</f>
        <v>74LVT244</v>
      </c>
      <c r="C89" t="str">
        <f>HYPERLINK("https://www.onsemi.com/pub/Collateral/74LVTH244-D.pdf","74LVTH244/D (434kB)")</f>
        <v>74LVTH244/D (434kB)</v>
      </c>
      <c r="D89" t="s">
        <v>188</v>
      </c>
      <c r="E89" s="2" t="s">
        <v>23</v>
      </c>
      <c r="F89" t="s">
        <v>14</v>
      </c>
      <c r="H89" s="2" t="s">
        <v>68</v>
      </c>
      <c r="I89" s="2" t="s">
        <v>121</v>
      </c>
      <c r="J89" s="2" t="s">
        <v>186</v>
      </c>
      <c r="K89" s="2" t="s">
        <v>131</v>
      </c>
      <c r="L89" s="2" t="s">
        <v>190</v>
      </c>
      <c r="M89" s="2"/>
      <c r="N89" s="2" t="s">
        <v>191</v>
      </c>
      <c r="O89" s="2" t="s">
        <v>152</v>
      </c>
    </row>
    <row r="90" spans="1:15" ht="25.5">
      <c r="A90" s="5" t="s">
        <v>413</v>
      </c>
      <c r="B90" t="str">
        <f>HYPERLINK("https://www.onsemi.com/PowerSolutions/product.do?id=74LVTH125","74LVTH125")</f>
        <v>74LVTH125</v>
      </c>
      <c r="C90" t="str">
        <f>HYPERLINK("https://www.onsemi.com/pub/Collateral/74LVTH125-D.pdf","74LVTH125/D (377kB)")</f>
        <v>74LVTH125/D (377kB)</v>
      </c>
      <c r="D90" t="s">
        <v>192</v>
      </c>
      <c r="E90" s="2" t="s">
        <v>23</v>
      </c>
      <c r="F90" t="s">
        <v>14</v>
      </c>
      <c r="H90" s="2" t="s">
        <v>108</v>
      </c>
      <c r="I90" s="2" t="s">
        <v>121</v>
      </c>
      <c r="J90" s="2" t="s">
        <v>186</v>
      </c>
      <c r="K90" s="2" t="s">
        <v>131</v>
      </c>
      <c r="L90" s="2" t="s">
        <v>190</v>
      </c>
      <c r="M90" s="2"/>
      <c r="N90" s="2" t="s">
        <v>191</v>
      </c>
      <c r="O90" s="2" t="s">
        <v>146</v>
      </c>
    </row>
    <row r="91" spans="1:15" ht="25.5">
      <c r="A91" s="5" t="s">
        <v>413</v>
      </c>
      <c r="B91" t="str">
        <f>HYPERLINK("https://www.onsemi.com/PowerSolutions/product.do?id=74LVTH162244","74LVTH162244")</f>
        <v>74LVTH162244</v>
      </c>
      <c r="C91" t="str">
        <f>HYPERLINK("https://www.onsemi.com/pub/Collateral/74LVTH162244-D.pdf","74LVTH162244/D (213kB)")</f>
        <v>74LVTH162244/D (213kB)</v>
      </c>
      <c r="D91" t="s">
        <v>187</v>
      </c>
      <c r="E91" s="2" t="s">
        <v>23</v>
      </c>
      <c r="F91" t="s">
        <v>14</v>
      </c>
      <c r="H91" s="2" t="s">
        <v>72</v>
      </c>
      <c r="I91" s="2" t="s">
        <v>121</v>
      </c>
      <c r="J91" s="2" t="s">
        <v>186</v>
      </c>
      <c r="K91" s="2" t="s">
        <v>131</v>
      </c>
      <c r="L91" s="2" t="s">
        <v>108</v>
      </c>
      <c r="M91" s="2"/>
      <c r="N91" s="2" t="s">
        <v>191</v>
      </c>
      <c r="O91" s="2" t="s">
        <v>154</v>
      </c>
    </row>
    <row r="92" spans="1:15">
      <c r="A92" s="5" t="s">
        <v>413</v>
      </c>
      <c r="B92" t="str">
        <f>HYPERLINK("https://www.onsemi.com/PowerSolutions/product.do?id=74LVTH2244","74LVTH2244")</f>
        <v>74LVTH2244</v>
      </c>
      <c r="C92" t="str">
        <f>HYPERLINK("https://www.onsemi.com/pub/Collateral/74LVTH2244-D.pdf","74LVTH2244/D (399kB)")</f>
        <v>74LVTH2244/D (399kB)</v>
      </c>
      <c r="D92" t="s">
        <v>188</v>
      </c>
      <c r="E92" s="2" t="s">
        <v>175</v>
      </c>
      <c r="F92" t="s">
        <v>14</v>
      </c>
      <c r="H92" s="2" t="s">
        <v>68</v>
      </c>
      <c r="I92" s="2" t="s">
        <v>121</v>
      </c>
      <c r="J92" s="2" t="s">
        <v>186</v>
      </c>
      <c r="K92" s="2" t="s">
        <v>131</v>
      </c>
      <c r="L92" s="2" t="s">
        <v>189</v>
      </c>
      <c r="M92" s="2"/>
      <c r="N92" s="2" t="s">
        <v>191</v>
      </c>
      <c r="O92" s="2" t="s">
        <v>176</v>
      </c>
    </row>
    <row r="93" spans="1:15">
      <c r="A93" s="5" t="s">
        <v>413</v>
      </c>
      <c r="B93" t="str">
        <f>HYPERLINK("https://www.onsemi.com/PowerSolutions/product.do?id=74LVTH240","74LVTH240")</f>
        <v>74LVTH240</v>
      </c>
      <c r="C93" t="str">
        <f>HYPERLINK("https://www.onsemi.com/pub/Collateral/74LVTH240-D.pdf","74LVTH240/D (436kB)")</f>
        <v>74LVTH240/D (436kB)</v>
      </c>
      <c r="D93" t="s">
        <v>188</v>
      </c>
      <c r="E93" s="2" t="s">
        <v>175</v>
      </c>
      <c r="F93" t="s">
        <v>14</v>
      </c>
      <c r="H93" s="2" t="s">
        <v>68</v>
      </c>
      <c r="I93" s="2" t="s">
        <v>121</v>
      </c>
      <c r="J93" s="2" t="s">
        <v>186</v>
      </c>
      <c r="K93" s="2" t="s">
        <v>131</v>
      </c>
      <c r="L93" s="2" t="s">
        <v>108</v>
      </c>
      <c r="M93" s="2"/>
      <c r="N93" s="2" t="s">
        <v>193</v>
      </c>
      <c r="O93" s="2" t="s">
        <v>176</v>
      </c>
    </row>
    <row r="94" spans="1:15">
      <c r="A94" s="5" t="s">
        <v>413</v>
      </c>
      <c r="B94" t="str">
        <f>HYPERLINK("https://www.onsemi.com/PowerSolutions/product.do?id=74LVTH244","74LVTH244")</f>
        <v>74LVTH244</v>
      </c>
      <c r="C94" t="str">
        <f>HYPERLINK("https://www.onsemi.com/pub/Collateral/74LVTH244-D.pdf","74LVTH244/D (434kB)")</f>
        <v>74LVTH244/D (434kB)</v>
      </c>
      <c r="D94" t="s">
        <v>188</v>
      </c>
      <c r="E94" s="2" t="s">
        <v>175</v>
      </c>
      <c r="F94" t="s">
        <v>14</v>
      </c>
      <c r="H94" s="2" t="s">
        <v>68</v>
      </c>
      <c r="I94" s="2" t="s">
        <v>121</v>
      </c>
      <c r="J94" s="2" t="s">
        <v>186</v>
      </c>
      <c r="K94" s="2" t="s">
        <v>131</v>
      </c>
      <c r="L94" s="2" t="s">
        <v>190</v>
      </c>
      <c r="M94" s="2"/>
      <c r="N94" s="2" t="s">
        <v>191</v>
      </c>
      <c r="O94" s="2" t="s">
        <v>176</v>
      </c>
    </row>
    <row r="95" spans="1:15" ht="25.5">
      <c r="A95" s="5" t="s">
        <v>413</v>
      </c>
      <c r="B95" t="str">
        <f>HYPERLINK("https://www.onsemi.com/PowerSolutions/product.do?id=74LVX04","74LVX04")</f>
        <v>74LVX04</v>
      </c>
      <c r="C95" t="str">
        <f>HYPERLINK("https://www.onsemi.com/pub/Collateral/74LVX04-D.pdf","74LVX04/D (390kB)")</f>
        <v>74LVX04/D (390kB)</v>
      </c>
      <c r="D95" t="s">
        <v>194</v>
      </c>
      <c r="E95" s="2" t="s">
        <v>23</v>
      </c>
      <c r="F95" t="s">
        <v>14</v>
      </c>
      <c r="H95" s="2" t="s">
        <v>83</v>
      </c>
      <c r="I95" s="2" t="s">
        <v>117</v>
      </c>
      <c r="J95" s="2" t="s">
        <v>82</v>
      </c>
      <c r="K95" s="2" t="s">
        <v>131</v>
      </c>
      <c r="L95" s="2" t="s">
        <v>195</v>
      </c>
      <c r="M95" s="2"/>
      <c r="N95" s="2" t="s">
        <v>108</v>
      </c>
      <c r="O95" s="2" t="s">
        <v>146</v>
      </c>
    </row>
    <row r="96" spans="1:15" ht="38.25">
      <c r="A96" s="5" t="s">
        <v>413</v>
      </c>
      <c r="B96" t="str">
        <f>HYPERLINK("https://www.onsemi.com/PowerSolutions/product.do?id=74LVX125","74LVX125")</f>
        <v>74LVX125</v>
      </c>
      <c r="C96" t="str">
        <f>HYPERLINK("https://www.onsemi.com/pub/Collateral/74LVX125-D.pdf","74LVX125/D (467kB)")</f>
        <v>74LVX125/D (467kB)</v>
      </c>
      <c r="D96" t="s">
        <v>192</v>
      </c>
      <c r="E96" s="2" t="s">
        <v>23</v>
      </c>
      <c r="F96" t="s">
        <v>14</v>
      </c>
      <c r="H96" s="2" t="s">
        <v>108</v>
      </c>
      <c r="I96" s="2" t="s">
        <v>121</v>
      </c>
      <c r="J96" s="2" t="s">
        <v>82</v>
      </c>
      <c r="K96" s="2" t="s">
        <v>131</v>
      </c>
      <c r="L96" s="2" t="s">
        <v>196</v>
      </c>
      <c r="M96" s="2"/>
      <c r="N96" s="2" t="s">
        <v>108</v>
      </c>
      <c r="O96" s="2" t="s">
        <v>197</v>
      </c>
    </row>
    <row r="97" spans="1:15" ht="25.5">
      <c r="A97" s="5" t="s">
        <v>413</v>
      </c>
      <c r="B97" t="str">
        <f>HYPERLINK("https://www.onsemi.com/PowerSolutions/product.do?id=74LVX14","74LVX14")</f>
        <v>74LVX14</v>
      </c>
      <c r="C97" t="str">
        <f>HYPERLINK("https://www.onsemi.com/pub/Collateral/74LVX14-D.pdf","74LVX14/D (385kB)")</f>
        <v>74LVX14/D (385kB)</v>
      </c>
      <c r="D97" t="s">
        <v>198</v>
      </c>
      <c r="E97" s="2" t="s">
        <v>23</v>
      </c>
      <c r="F97" t="s">
        <v>14</v>
      </c>
      <c r="H97" s="2" t="s">
        <v>83</v>
      </c>
      <c r="I97" s="2" t="s">
        <v>117</v>
      </c>
      <c r="J97" s="2" t="s">
        <v>82</v>
      </c>
      <c r="K97" s="2" t="s">
        <v>131</v>
      </c>
      <c r="L97" s="2" t="s">
        <v>199</v>
      </c>
      <c r="M97" s="2"/>
      <c r="N97" s="2" t="s">
        <v>108</v>
      </c>
      <c r="O97" s="2" t="s">
        <v>146</v>
      </c>
    </row>
    <row r="98" spans="1:15" ht="38.25">
      <c r="A98" s="5" t="s">
        <v>413</v>
      </c>
      <c r="B98" t="str">
        <f>HYPERLINK("https://www.onsemi.com/PowerSolutions/product.do?id=74LVX244","74LVX244")</f>
        <v>74LVX244</v>
      </c>
      <c r="C98" t="str">
        <f>HYPERLINK("https://www.onsemi.com/pub/Collateral/74LVX244-D.pdf","74LVX244/D (203kB)")</f>
        <v>74LVX244/D (203kB)</v>
      </c>
      <c r="D98" t="s">
        <v>188</v>
      </c>
      <c r="E98" s="2" t="s">
        <v>23</v>
      </c>
      <c r="F98" t="s">
        <v>14</v>
      </c>
      <c r="H98" s="2" t="s">
        <v>68</v>
      </c>
      <c r="I98" s="2" t="s">
        <v>121</v>
      </c>
      <c r="J98" s="2" t="s">
        <v>82</v>
      </c>
      <c r="K98" s="2" t="s">
        <v>131</v>
      </c>
      <c r="L98" s="2" t="s">
        <v>200</v>
      </c>
      <c r="M98" s="2"/>
      <c r="N98" s="2" t="s">
        <v>108</v>
      </c>
      <c r="O98" s="2" t="s">
        <v>178</v>
      </c>
    </row>
    <row r="99" spans="1:15">
      <c r="A99" s="5" t="s">
        <v>413</v>
      </c>
      <c r="B99" t="str">
        <f>HYPERLINK("https://www.onsemi.com/PowerSolutions/product.do?id=74LVX541","74LVX541")</f>
        <v>74LVX541</v>
      </c>
      <c r="C99" t="str">
        <f>HYPERLINK("https://www.onsemi.com/pub/Collateral/74LVX541-D.pdf","74LVX541/D (203kB)")</f>
        <v>74LVX541/D (203kB)</v>
      </c>
      <c r="D99" t="s">
        <v>188</v>
      </c>
      <c r="E99" s="2" t="s">
        <v>175</v>
      </c>
      <c r="F99" t="s">
        <v>14</v>
      </c>
      <c r="H99" s="2" t="s">
        <v>68</v>
      </c>
      <c r="I99" s="2" t="s">
        <v>121</v>
      </c>
      <c r="J99" s="2" t="s">
        <v>82</v>
      </c>
      <c r="K99" s="2" t="s">
        <v>131</v>
      </c>
      <c r="L99" s="2" t="s">
        <v>200</v>
      </c>
      <c r="M99" s="2"/>
      <c r="N99" s="2" t="s">
        <v>108</v>
      </c>
      <c r="O99" s="2" t="s">
        <v>176</v>
      </c>
    </row>
    <row r="100" spans="1:15" ht="25.5">
      <c r="A100" s="5" t="s">
        <v>413</v>
      </c>
      <c r="B100" t="str">
        <f>HYPERLINK("https://www.onsemi.com/PowerSolutions/product.do?id=74VCX162244","74VCX162244")</f>
        <v>74VCX162244</v>
      </c>
      <c r="C100" t="str">
        <f>HYPERLINK("https://www.onsemi.com/pub/Collateral/74VCX162244-D.pdf","74VCX162244/D (245kB)")</f>
        <v>74VCX162244/D (245kB)</v>
      </c>
      <c r="D100" t="s">
        <v>153</v>
      </c>
      <c r="E100" s="2" t="s">
        <v>23</v>
      </c>
      <c r="F100" t="s">
        <v>14</v>
      </c>
      <c r="H100" s="2" t="s">
        <v>72</v>
      </c>
      <c r="I100" s="2" t="s">
        <v>121</v>
      </c>
      <c r="J100" s="2" t="s">
        <v>201</v>
      </c>
      <c r="K100" s="2" t="s">
        <v>131</v>
      </c>
      <c r="L100" s="2" t="s">
        <v>202</v>
      </c>
      <c r="M100" s="2"/>
      <c r="N100" s="2" t="s">
        <v>171</v>
      </c>
      <c r="O100" s="2" t="s">
        <v>154</v>
      </c>
    </row>
    <row r="101" spans="1:15" ht="25.5">
      <c r="A101" s="5" t="s">
        <v>413</v>
      </c>
      <c r="B101" t="str">
        <f>HYPERLINK("https://www.onsemi.com/PowerSolutions/product.do?id=74VCX16244","74VCX16244")</f>
        <v>74VCX16244</v>
      </c>
      <c r="C101" t="str">
        <f>HYPERLINK("https://www.onsemi.com/pub/Collateral/74VCX16244-D.pdf","74VCX16244/D (233kB)")</f>
        <v>74VCX16244/D (233kB)</v>
      </c>
      <c r="D101" t="s">
        <v>203</v>
      </c>
      <c r="E101" s="2" t="s">
        <v>23</v>
      </c>
      <c r="F101" t="s">
        <v>14</v>
      </c>
      <c r="H101" s="2" t="s">
        <v>72</v>
      </c>
      <c r="I101" s="2" t="s">
        <v>121</v>
      </c>
      <c r="J101" s="2" t="s">
        <v>127</v>
      </c>
      <c r="K101" s="2" t="s">
        <v>131</v>
      </c>
      <c r="L101" s="2" t="s">
        <v>16</v>
      </c>
      <c r="M101" s="2"/>
      <c r="N101" s="2" t="s">
        <v>86</v>
      </c>
      <c r="O101" s="2" t="s">
        <v>154</v>
      </c>
    </row>
    <row r="102" spans="1:15" ht="38.25">
      <c r="A102" s="5" t="s">
        <v>413</v>
      </c>
      <c r="B102" t="str">
        <f>HYPERLINK("https://www.onsemi.com/PowerSolutions/product.do?id=74VHC04","74VHC04")</f>
        <v>74VHC04</v>
      </c>
      <c r="C102" t="str">
        <f>HYPERLINK("https://www.onsemi.com/pub/Collateral/74VHC04-D.pdf","74VHC04/D (448kB)")</f>
        <v>74VHC04/D (448kB)</v>
      </c>
      <c r="D102" t="s">
        <v>145</v>
      </c>
      <c r="E102" s="2" t="s">
        <v>23</v>
      </c>
      <c r="F102" t="s">
        <v>14</v>
      </c>
      <c r="H102" s="2" t="s">
        <v>83</v>
      </c>
      <c r="I102" s="2" t="s">
        <v>117</v>
      </c>
      <c r="J102" s="2" t="s">
        <v>82</v>
      </c>
      <c r="K102" s="2" t="s">
        <v>89</v>
      </c>
      <c r="L102" s="2" t="s">
        <v>204</v>
      </c>
      <c r="M102" s="2"/>
      <c r="N102" s="2" t="s">
        <v>68</v>
      </c>
      <c r="O102" s="2" t="s">
        <v>197</v>
      </c>
    </row>
    <row r="103" spans="1:15" ht="25.5">
      <c r="A103" s="5" t="s">
        <v>413</v>
      </c>
      <c r="B103" t="str">
        <f>HYPERLINK("https://www.onsemi.com/PowerSolutions/product.do?id=74VHC125","74VHC125")</f>
        <v>74VHC125</v>
      </c>
      <c r="C103" t="str">
        <f>HYPERLINK("https://www.onsemi.com/pub/Collateral/74VHC125-D.pdf","74VHC125/D (376kB)")</f>
        <v>74VHC125/D (376kB)</v>
      </c>
      <c r="D103" t="s">
        <v>205</v>
      </c>
      <c r="E103" s="2" t="s">
        <v>23</v>
      </c>
      <c r="F103" t="s">
        <v>14</v>
      </c>
      <c r="H103" s="2" t="s">
        <v>108</v>
      </c>
      <c r="I103" s="2" t="s">
        <v>121</v>
      </c>
      <c r="J103" s="2" t="s">
        <v>82</v>
      </c>
      <c r="K103" s="2" t="s">
        <v>89</v>
      </c>
      <c r="L103" s="2" t="s">
        <v>204</v>
      </c>
      <c r="M103" s="2"/>
      <c r="N103" s="2" t="s">
        <v>68</v>
      </c>
      <c r="O103" s="2" t="s">
        <v>146</v>
      </c>
    </row>
    <row r="104" spans="1:15" ht="38.25">
      <c r="A104" s="5" t="s">
        <v>413</v>
      </c>
      <c r="B104" t="str">
        <f>HYPERLINK("https://www.onsemi.com/PowerSolutions/product.do?id=74VHC14","74VHC14")</f>
        <v>74VHC14</v>
      </c>
      <c r="C104" t="str">
        <f>HYPERLINK("https://www.onsemi.com/pub/Collateral/74VHC14-D.PDF","74VHC14/D (899kB)")</f>
        <v>74VHC14/D (899kB)</v>
      </c>
      <c r="D104" t="s">
        <v>206</v>
      </c>
      <c r="E104" s="2" t="s">
        <v>23</v>
      </c>
      <c r="F104" t="s">
        <v>14</v>
      </c>
      <c r="H104" s="2" t="s">
        <v>83</v>
      </c>
      <c r="I104" s="2" t="s">
        <v>117</v>
      </c>
      <c r="J104" s="2" t="s">
        <v>82</v>
      </c>
      <c r="K104" s="2" t="s">
        <v>89</v>
      </c>
      <c r="L104" s="2" t="s">
        <v>89</v>
      </c>
      <c r="M104" s="2"/>
      <c r="N104" s="2" t="s">
        <v>68</v>
      </c>
      <c r="O104" s="2" t="s">
        <v>197</v>
      </c>
    </row>
    <row r="105" spans="1:15">
      <c r="A105" s="5" t="s">
        <v>413</v>
      </c>
      <c r="B105" t="str">
        <f>HYPERLINK("https://www.onsemi.com/PowerSolutions/product.do?id=74VHC240","74VHC240")</f>
        <v>74VHC240</v>
      </c>
      <c r="C105" t="str">
        <f>HYPERLINK("https://www.onsemi.com/pub/Collateral/74VHC240-D.pdf","74VHC240/D (300kB)")</f>
        <v>74VHC240/D (300kB)</v>
      </c>
      <c r="D105" t="s">
        <v>149</v>
      </c>
      <c r="E105" s="2" t="s">
        <v>175</v>
      </c>
      <c r="F105" t="s">
        <v>14</v>
      </c>
      <c r="H105" s="2" t="s">
        <v>68</v>
      </c>
      <c r="I105" s="2" t="s">
        <v>121</v>
      </c>
      <c r="J105" s="2" t="s">
        <v>82</v>
      </c>
      <c r="K105" s="2" t="s">
        <v>89</v>
      </c>
      <c r="L105" s="2" t="s">
        <v>131</v>
      </c>
      <c r="M105" s="2"/>
      <c r="N105" s="2" t="s">
        <v>68</v>
      </c>
      <c r="O105" s="2" t="s">
        <v>176</v>
      </c>
    </row>
    <row r="106" spans="1:15" ht="38.25">
      <c r="A106" s="5" t="s">
        <v>413</v>
      </c>
      <c r="B106" t="str">
        <f>HYPERLINK("https://www.onsemi.com/PowerSolutions/product.do?id=74VHC244","74VHC244")</f>
        <v>74VHC244</v>
      </c>
      <c r="C106" t="str">
        <f>HYPERLINK("https://www.onsemi.com/pub/Collateral/74VHC244-D.pdf","74VHC244/D (217kB)")</f>
        <v>74VHC244/D (217kB)</v>
      </c>
      <c r="D106" t="s">
        <v>149</v>
      </c>
      <c r="E106" s="2" t="s">
        <v>23</v>
      </c>
      <c r="F106" t="s">
        <v>14</v>
      </c>
      <c r="H106" s="2" t="s">
        <v>68</v>
      </c>
      <c r="I106" s="2" t="s">
        <v>121</v>
      </c>
      <c r="J106" s="2" t="s">
        <v>82</v>
      </c>
      <c r="K106" s="2" t="s">
        <v>89</v>
      </c>
      <c r="L106" s="2" t="s">
        <v>190</v>
      </c>
      <c r="M106" s="2"/>
      <c r="N106" s="2" t="s">
        <v>68</v>
      </c>
      <c r="O106" s="2" t="s">
        <v>178</v>
      </c>
    </row>
    <row r="107" spans="1:15" ht="38.25">
      <c r="A107" s="5" t="s">
        <v>413</v>
      </c>
      <c r="B107" t="str">
        <f>HYPERLINK("https://www.onsemi.com/PowerSolutions/product.do?id=74VHC541","74VHC541")</f>
        <v>74VHC541</v>
      </c>
      <c r="C107" t="str">
        <f>HYPERLINK("https://www.onsemi.com/pub/Collateral/74VHC541-D.pdf","74VHC541/D (215kB)")</f>
        <v>74VHC541/D (215kB)</v>
      </c>
      <c r="D107" t="s">
        <v>149</v>
      </c>
      <c r="E107" s="2" t="s">
        <v>23</v>
      </c>
      <c r="F107" t="s">
        <v>14</v>
      </c>
      <c r="H107" s="2" t="s">
        <v>68</v>
      </c>
      <c r="I107" s="2" t="s">
        <v>121</v>
      </c>
      <c r="J107" s="2" t="s">
        <v>82</v>
      </c>
      <c r="K107" s="2" t="s">
        <v>89</v>
      </c>
      <c r="L107" s="2" t="s">
        <v>207</v>
      </c>
      <c r="M107" s="2"/>
      <c r="N107" s="2" t="s">
        <v>68</v>
      </c>
      <c r="O107" s="2" t="s">
        <v>178</v>
      </c>
    </row>
    <row r="108" spans="1:15" ht="25.5">
      <c r="A108" s="5" t="s">
        <v>413</v>
      </c>
      <c r="B108" t="str">
        <f>HYPERLINK("https://www.onsemi.com/PowerSolutions/product.do?id=74VHCT04A","74VHCT04A")</f>
        <v>74VHCT04A</v>
      </c>
      <c r="C108" t="str">
        <f>HYPERLINK("https://www.onsemi.com/pub/Collateral/74VHCT04A-D.pdf","74VHCT04A/D (379kB)")</f>
        <v>74VHCT04A/D (379kB)</v>
      </c>
      <c r="D108" t="s">
        <v>145</v>
      </c>
      <c r="E108" s="2" t="s">
        <v>23</v>
      </c>
      <c r="F108" t="s">
        <v>14</v>
      </c>
      <c r="H108" s="2" t="s">
        <v>83</v>
      </c>
      <c r="I108" s="2" t="s">
        <v>117</v>
      </c>
      <c r="J108" s="2" t="s">
        <v>71</v>
      </c>
      <c r="K108" s="2" t="s">
        <v>89</v>
      </c>
      <c r="L108" s="2" t="s">
        <v>89</v>
      </c>
      <c r="M108" s="2"/>
      <c r="N108" s="2" t="s">
        <v>68</v>
      </c>
      <c r="O108" s="2" t="s">
        <v>146</v>
      </c>
    </row>
    <row r="109" spans="1:15" ht="25.5">
      <c r="A109" s="5" t="s">
        <v>413</v>
      </c>
      <c r="B109" t="str">
        <f>HYPERLINK("https://www.onsemi.com/PowerSolutions/product.do?id=74VHCT14A","74VHCT14A")</f>
        <v>74VHCT14A</v>
      </c>
      <c r="C109" t="str">
        <f>HYPERLINK("https://www.onsemi.com/pub/Collateral/74VHCT14A-D.pdf","74VHCT14A/D (377kB)")</f>
        <v>74VHCT14A/D (377kB)</v>
      </c>
      <c r="D109" t="s">
        <v>206</v>
      </c>
      <c r="E109" s="2" t="s">
        <v>23</v>
      </c>
      <c r="F109" t="s">
        <v>14</v>
      </c>
      <c r="H109" s="2" t="s">
        <v>83</v>
      </c>
      <c r="I109" s="2" t="s">
        <v>117</v>
      </c>
      <c r="J109" s="2" t="s">
        <v>71</v>
      </c>
      <c r="K109" s="2" t="s">
        <v>89</v>
      </c>
      <c r="L109" s="2" t="s">
        <v>168</v>
      </c>
      <c r="M109" s="2"/>
      <c r="N109" s="2" t="s">
        <v>68</v>
      </c>
      <c r="O109" s="2" t="s">
        <v>146</v>
      </c>
    </row>
    <row r="110" spans="1:15" ht="25.5">
      <c r="A110" s="5" t="s">
        <v>413</v>
      </c>
      <c r="B110" t="str">
        <f>HYPERLINK("https://www.onsemi.com/PowerSolutions/product.do?id=74VHCT240A","74VHCT240A")</f>
        <v>74VHCT240A</v>
      </c>
      <c r="C110" t="str">
        <f>HYPERLINK("https://www.onsemi.com/pub/Collateral/74VHCT240A-D.pdf","74VHCT240A/D (345kB)")</f>
        <v>74VHCT240A/D (345kB)</v>
      </c>
      <c r="D110" t="s">
        <v>149</v>
      </c>
      <c r="E110" s="2" t="s">
        <v>175</v>
      </c>
      <c r="F110" t="s">
        <v>14</v>
      </c>
      <c r="H110" s="2" t="s">
        <v>68</v>
      </c>
      <c r="I110" s="2" t="s">
        <v>121</v>
      </c>
      <c r="J110" s="2" t="s">
        <v>71</v>
      </c>
      <c r="K110" s="2" t="s">
        <v>89</v>
      </c>
      <c r="L110" s="2" t="s">
        <v>208</v>
      </c>
      <c r="M110" s="2"/>
      <c r="N110" s="2" t="s">
        <v>68</v>
      </c>
      <c r="O110" s="2" t="s">
        <v>209</v>
      </c>
    </row>
    <row r="111" spans="1:15" ht="38.25">
      <c r="A111" s="5" t="s">
        <v>413</v>
      </c>
      <c r="B111" t="str">
        <f>HYPERLINK("https://www.onsemi.com/PowerSolutions/product.do?id=74VHCT244A","74VHCT244A")</f>
        <v>74VHCT244A</v>
      </c>
      <c r="C111" t="str">
        <f>HYPERLINK("https://www.onsemi.com/pub/Collateral/74VHCT244A-D.pdf","74VHCT244A/D (344kB)")</f>
        <v>74VHCT244A/D (344kB)</v>
      </c>
      <c r="D111" t="s">
        <v>149</v>
      </c>
      <c r="E111" s="2" t="s">
        <v>23</v>
      </c>
      <c r="F111" t="s">
        <v>14</v>
      </c>
      <c r="H111" s="2" t="s">
        <v>68</v>
      </c>
      <c r="I111" s="2" t="s">
        <v>121</v>
      </c>
      <c r="J111" s="2" t="s">
        <v>71</v>
      </c>
      <c r="K111" s="2" t="s">
        <v>89</v>
      </c>
      <c r="L111" s="2" t="s">
        <v>210</v>
      </c>
      <c r="M111" s="2"/>
      <c r="N111" s="2" t="s">
        <v>68</v>
      </c>
      <c r="O111" s="2" t="s">
        <v>178</v>
      </c>
    </row>
    <row r="112" spans="1:15" ht="38.25">
      <c r="A112" s="5" t="s">
        <v>413</v>
      </c>
      <c r="B112" t="str">
        <f>HYPERLINK("https://www.onsemi.com/PowerSolutions/product.do?id=74VHCT245A","74VHCT245A")</f>
        <v>74VHCT245A</v>
      </c>
      <c r="C112" t="str">
        <f>HYPERLINK("https://www.onsemi.com/pub/Collateral/74VHCT245A-D.pdf","74VHCT245A/D (351kB)")</f>
        <v>74VHCT245A/D (351kB)</v>
      </c>
      <c r="D112" t="s">
        <v>149</v>
      </c>
      <c r="E112" s="2" t="s">
        <v>23</v>
      </c>
      <c r="F112" t="s">
        <v>14</v>
      </c>
      <c r="H112" s="2" t="s">
        <v>68</v>
      </c>
      <c r="I112" s="2" t="s">
        <v>121</v>
      </c>
      <c r="J112" s="2" t="s">
        <v>71</v>
      </c>
      <c r="K112" s="2" t="s">
        <v>89</v>
      </c>
      <c r="L112" s="2" t="s">
        <v>211</v>
      </c>
      <c r="M112" s="2"/>
      <c r="N112" s="2" t="s">
        <v>68</v>
      </c>
      <c r="O112" s="2" t="s">
        <v>178</v>
      </c>
    </row>
    <row r="113" spans="1:15" ht="25.5">
      <c r="A113" s="5" t="s">
        <v>413</v>
      </c>
      <c r="B113" t="str">
        <f>HYPERLINK("https://www.onsemi.com/PowerSolutions/product.do?id=74VHCT541A","74VHCT541A")</f>
        <v>74VHCT541A</v>
      </c>
      <c r="C113" t="str">
        <f>HYPERLINK("https://www.onsemi.com/pub/Collateral/74VHCT541A-D.pdf","74VHCT541A/D (215kB)")</f>
        <v>74VHCT541A/D (215kB)</v>
      </c>
      <c r="D113" t="s">
        <v>149</v>
      </c>
      <c r="E113" s="2" t="s">
        <v>23</v>
      </c>
      <c r="F113" t="s">
        <v>14</v>
      </c>
      <c r="H113" s="2" t="s">
        <v>68</v>
      </c>
      <c r="I113" s="2" t="s">
        <v>121</v>
      </c>
      <c r="J113" s="2" t="s">
        <v>71</v>
      </c>
      <c r="K113" s="2" t="s">
        <v>89</v>
      </c>
      <c r="L113" s="2" t="s">
        <v>89</v>
      </c>
      <c r="M113" s="2"/>
      <c r="N113" s="2" t="s">
        <v>68</v>
      </c>
      <c r="O113" s="2" t="s">
        <v>152</v>
      </c>
    </row>
    <row r="114" spans="1:15" ht="25.5">
      <c r="A114" s="5" t="s">
        <v>413</v>
      </c>
      <c r="B114" t="str">
        <f>HYPERLINK("https://www.onsemi.com/PowerSolutions/product.do?id=74VHCU04","74VHCU04")</f>
        <v>74VHCU04</v>
      </c>
      <c r="C114" t="str">
        <f>HYPERLINK("https://www.onsemi.com/pub/Collateral/74VHCU04-D.pdf","74VHCU04/D (374kB)")</f>
        <v>74VHCU04/D (374kB)</v>
      </c>
      <c r="D114" t="s">
        <v>145</v>
      </c>
      <c r="E114" s="2" t="s">
        <v>23</v>
      </c>
      <c r="F114" t="s">
        <v>14</v>
      </c>
      <c r="H114" s="2" t="s">
        <v>83</v>
      </c>
      <c r="I114" s="2" t="s">
        <v>117</v>
      </c>
      <c r="J114" s="2" t="s">
        <v>71</v>
      </c>
      <c r="K114" s="2" t="s">
        <v>89</v>
      </c>
      <c r="L114" s="2" t="s">
        <v>151</v>
      </c>
      <c r="M114" s="2"/>
      <c r="N114" s="2" t="s">
        <v>68</v>
      </c>
      <c r="O114" s="2" t="s">
        <v>146</v>
      </c>
    </row>
    <row r="115" spans="1:15" ht="51">
      <c r="A115" s="5" t="s">
        <v>413</v>
      </c>
      <c r="B115" t="str">
        <f>HYPERLINK("https://www.onsemi.com/PowerSolutions/product.do?id=MC14049B","MC14049B")</f>
        <v>MC14049B</v>
      </c>
      <c r="C115" t="str">
        <f>HYPERLINK("https://www.onsemi.com/pub/Collateral/MC14049B-D.PDF","MC14049B/D (125kB)")</f>
        <v>MC14049B/D (125kB)</v>
      </c>
      <c r="D115" t="s">
        <v>145</v>
      </c>
      <c r="E115" s="2" t="s">
        <v>13</v>
      </c>
      <c r="F115" t="s">
        <v>14</v>
      </c>
      <c r="H115" s="2" t="s">
        <v>83</v>
      </c>
      <c r="I115" s="2" t="s">
        <v>117</v>
      </c>
      <c r="J115" s="2" t="s">
        <v>16</v>
      </c>
      <c r="K115" s="2" t="s">
        <v>17</v>
      </c>
      <c r="L115" s="2" t="s">
        <v>212</v>
      </c>
      <c r="M115" s="2"/>
      <c r="N115" s="2" t="s">
        <v>72</v>
      </c>
      <c r="O115" s="2" t="s">
        <v>27</v>
      </c>
    </row>
    <row r="116" spans="1:15" ht="51">
      <c r="A116" s="5" t="s">
        <v>413</v>
      </c>
      <c r="B116" t="str">
        <f>HYPERLINK("https://www.onsemi.com/PowerSolutions/product.do?id=MC14049UB","MC14049UB")</f>
        <v>MC14049UB</v>
      </c>
      <c r="C116" t="str">
        <f>HYPERLINK("https://www.onsemi.com/pub/Collateral/MC14049UB-D.PDF","MC14049UB/D (100kB)")</f>
        <v>MC14049UB/D (100kB)</v>
      </c>
      <c r="D116" t="s">
        <v>145</v>
      </c>
      <c r="E116" s="2" t="s">
        <v>13</v>
      </c>
      <c r="F116" t="s">
        <v>14</v>
      </c>
      <c r="H116" s="2" t="s">
        <v>83</v>
      </c>
      <c r="I116" s="2" t="s">
        <v>117</v>
      </c>
      <c r="J116" s="2" t="s">
        <v>16</v>
      </c>
      <c r="K116" s="2" t="s">
        <v>17</v>
      </c>
      <c r="L116" s="2" t="s">
        <v>213</v>
      </c>
      <c r="M116" s="2"/>
      <c r="N116" s="2" t="s">
        <v>72</v>
      </c>
      <c r="O116" s="2" t="s">
        <v>42</v>
      </c>
    </row>
    <row r="117" spans="1:15" ht="51">
      <c r="A117" s="5" t="s">
        <v>413</v>
      </c>
      <c r="B117" t="str">
        <f>HYPERLINK("https://www.onsemi.com/PowerSolutions/product.do?id=MC14050B","MC14050B")</f>
        <v>MC14050B</v>
      </c>
      <c r="C117" t="str">
        <f>HYPERLINK("https://www.onsemi.com/pub/Collateral/MC14049B-D.PDF","MC14049B/D (125kB)")</f>
        <v>MC14049B/D (125kB)</v>
      </c>
      <c r="D117" t="s">
        <v>214</v>
      </c>
      <c r="E117" s="2" t="s">
        <v>13</v>
      </c>
      <c r="F117" t="s">
        <v>14</v>
      </c>
      <c r="H117" s="2" t="s">
        <v>83</v>
      </c>
      <c r="I117" s="2" t="s">
        <v>117</v>
      </c>
      <c r="J117" s="2" t="s">
        <v>16</v>
      </c>
      <c r="K117" s="2" t="s">
        <v>17</v>
      </c>
      <c r="L117" s="2" t="s">
        <v>212</v>
      </c>
      <c r="M117" s="2"/>
      <c r="N117" s="2" t="s">
        <v>72</v>
      </c>
      <c r="O117" s="2" t="s">
        <v>42</v>
      </c>
    </row>
    <row r="118" spans="1:15" ht="51">
      <c r="A118" s="5" t="s">
        <v>413</v>
      </c>
      <c r="B118" t="str">
        <f>HYPERLINK("https://www.onsemi.com/PowerSolutions/product.do?id=MC14503B","MC14503B")</f>
        <v>MC14503B</v>
      </c>
      <c r="C118" t="str">
        <f>HYPERLINK("https://www.onsemi.com/pub/Collateral/MC14503B-D.PDF","MC14503B/D (100kB)")</f>
        <v>MC14503B/D (100kB)</v>
      </c>
      <c r="D118" t="s">
        <v>215</v>
      </c>
      <c r="E118" s="2" t="s">
        <v>13</v>
      </c>
      <c r="F118" t="s">
        <v>14</v>
      </c>
      <c r="H118" s="2" t="s">
        <v>83</v>
      </c>
      <c r="I118" s="2" t="s">
        <v>121</v>
      </c>
      <c r="J118" s="2" t="s">
        <v>16</v>
      </c>
      <c r="K118" s="2" t="s">
        <v>17</v>
      </c>
      <c r="L118" s="2" t="s">
        <v>212</v>
      </c>
      <c r="M118" s="2"/>
      <c r="N118" s="2" t="s">
        <v>216</v>
      </c>
      <c r="O118" s="2" t="s">
        <v>27</v>
      </c>
    </row>
    <row r="119" spans="1:15" ht="51">
      <c r="A119" s="5" t="s">
        <v>413</v>
      </c>
      <c r="B119" t="str">
        <f>HYPERLINK("https://www.onsemi.com/PowerSolutions/product.do?id=MC14572UB","MC14572UB")</f>
        <v>MC14572UB</v>
      </c>
      <c r="C119" t="str">
        <f>HYPERLINK("https://www.onsemi.com/pub/Collateral/MC14572UB-D.PDF","MC14572UB/D (91kB)")</f>
        <v>MC14572UB/D (91kB)</v>
      </c>
      <c r="D119" t="s">
        <v>217</v>
      </c>
      <c r="E119" s="2" t="s">
        <v>13</v>
      </c>
      <c r="F119" t="s">
        <v>14</v>
      </c>
      <c r="H119" s="2" t="s">
        <v>83</v>
      </c>
      <c r="I119" s="2" t="s">
        <v>117</v>
      </c>
      <c r="J119" s="2" t="s">
        <v>16</v>
      </c>
      <c r="K119" s="2" t="s">
        <v>17</v>
      </c>
      <c r="L119" s="2" t="s">
        <v>73</v>
      </c>
      <c r="M119" s="2"/>
      <c r="N119" s="2" t="s">
        <v>26</v>
      </c>
      <c r="O119" s="2" t="s">
        <v>27</v>
      </c>
    </row>
    <row r="120" spans="1:15" ht="25.5">
      <c r="A120" s="5" t="s">
        <v>413</v>
      </c>
      <c r="B120" t="str">
        <f>HYPERLINK("https://www.onsemi.com/PowerSolutions/product.do?id=MC74AC05","MC74AC05")</f>
        <v>MC74AC05</v>
      </c>
      <c r="C120" t="str">
        <f>HYPERLINK("https://www.onsemi.com/pub/Collateral/MC74AC05-D.PDF","MC74AC05/D (81kB)")</f>
        <v>MC74AC05/D (81kB)</v>
      </c>
      <c r="D120" t="s">
        <v>218</v>
      </c>
      <c r="E120" s="2" t="s">
        <v>23</v>
      </c>
      <c r="F120" t="s">
        <v>14</v>
      </c>
      <c r="H120" s="2" t="s">
        <v>83</v>
      </c>
      <c r="I120" s="2" t="s">
        <v>219</v>
      </c>
      <c r="J120" s="2" t="s">
        <v>82</v>
      </c>
      <c r="K120" s="2" t="s">
        <v>83</v>
      </c>
      <c r="L120" s="2" t="s">
        <v>83</v>
      </c>
      <c r="M120" s="2"/>
      <c r="N120" s="2" t="s">
        <v>86</v>
      </c>
      <c r="O120" s="2" t="s">
        <v>21</v>
      </c>
    </row>
    <row r="121" spans="1:15" ht="25.5">
      <c r="A121" s="5" t="s">
        <v>413</v>
      </c>
      <c r="B121" t="str">
        <f>HYPERLINK("https://www.onsemi.com/PowerSolutions/product.do?id=MC74AC125","MC74AC125")</f>
        <v>MC74AC125</v>
      </c>
      <c r="C121" t="str">
        <f>HYPERLINK("https://www.onsemi.com/pub/Collateral/MC74AC125-D.PDF","MC74AC125/D (86kB)")</f>
        <v>MC74AC125/D (86kB)</v>
      </c>
      <c r="D121" t="s">
        <v>220</v>
      </c>
      <c r="E121" s="2" t="s">
        <v>23</v>
      </c>
      <c r="F121" t="s">
        <v>14</v>
      </c>
      <c r="H121" s="2" t="s">
        <v>108</v>
      </c>
      <c r="I121" s="2" t="s">
        <v>121</v>
      </c>
      <c r="J121" s="2" t="s">
        <v>82</v>
      </c>
      <c r="K121" s="2" t="s">
        <v>83</v>
      </c>
      <c r="L121" s="2" t="s">
        <v>148</v>
      </c>
      <c r="M121" s="2"/>
      <c r="N121" s="2" t="s">
        <v>86</v>
      </c>
      <c r="O121" s="2" t="s">
        <v>69</v>
      </c>
    </row>
    <row r="122" spans="1:15" ht="51">
      <c r="A122" s="5" t="s">
        <v>413</v>
      </c>
      <c r="B122" t="str">
        <f>HYPERLINK("https://www.onsemi.com/PowerSolutions/product.do?id=MC74AC14","MC74AC14")</f>
        <v>MC74AC14</v>
      </c>
      <c r="C122" t="str">
        <f>HYPERLINK("https://www.onsemi.com/pub/Collateral/MC74AC14-D.PDF","MC74AC14/D (82kB)")</f>
        <v>MC74AC14/D (82kB)</v>
      </c>
      <c r="D122" t="s">
        <v>147</v>
      </c>
      <c r="E122" s="2" t="s">
        <v>13</v>
      </c>
      <c r="F122" t="s">
        <v>14</v>
      </c>
      <c r="H122" s="2" t="s">
        <v>83</v>
      </c>
      <c r="I122" s="2" t="s">
        <v>117</v>
      </c>
      <c r="J122" s="2" t="s">
        <v>82</v>
      </c>
      <c r="K122" s="2" t="s">
        <v>83</v>
      </c>
      <c r="L122" s="2" t="s">
        <v>221</v>
      </c>
      <c r="M122" s="2"/>
      <c r="N122" s="2" t="s">
        <v>86</v>
      </c>
      <c r="O122" s="2" t="s">
        <v>69</v>
      </c>
    </row>
    <row r="123" spans="1:15" ht="25.5">
      <c r="A123" s="5" t="s">
        <v>413</v>
      </c>
      <c r="B123" t="str">
        <f>HYPERLINK("https://www.onsemi.com/PowerSolutions/product.do?id=MC74AC240","MC74AC240")</f>
        <v>MC74AC240</v>
      </c>
      <c r="C123" t="str">
        <f>HYPERLINK("https://www.onsemi.com/pub/Collateral/MC74AC240-D.PDF","MC74AC240/D (90kB)")</f>
        <v>MC74AC240/D (90kB)</v>
      </c>
      <c r="D123" t="s">
        <v>222</v>
      </c>
      <c r="E123" s="2" t="s">
        <v>23</v>
      </c>
      <c r="F123" t="s">
        <v>14</v>
      </c>
      <c r="H123" s="2" t="s">
        <v>68</v>
      </c>
      <c r="I123" s="2" t="s">
        <v>121</v>
      </c>
      <c r="J123" s="2" t="s">
        <v>82</v>
      </c>
      <c r="K123" s="2" t="s">
        <v>83</v>
      </c>
      <c r="L123" s="2" t="s">
        <v>168</v>
      </c>
      <c r="M123" s="2"/>
      <c r="N123" s="2" t="s">
        <v>86</v>
      </c>
      <c r="O123" s="2" t="s">
        <v>152</v>
      </c>
    </row>
    <row r="124" spans="1:15" ht="25.5">
      <c r="A124" s="5" t="s">
        <v>413</v>
      </c>
      <c r="B124" t="str">
        <f>HYPERLINK("https://www.onsemi.com/PowerSolutions/product.do?id=MC74AC244","MC74AC244")</f>
        <v>MC74AC244</v>
      </c>
      <c r="C124" t="str">
        <f>HYPERLINK("https://www.onsemi.com/pub/Collateral/MC74AC244-D.PDF","MC74AC244/D (87kB)")</f>
        <v>MC74AC244/D (87kB)</v>
      </c>
      <c r="D124" t="s">
        <v>222</v>
      </c>
      <c r="E124" s="2" t="s">
        <v>23</v>
      </c>
      <c r="F124" t="s">
        <v>14</v>
      </c>
      <c r="H124" s="2" t="s">
        <v>68</v>
      </c>
      <c r="I124" s="2" t="s">
        <v>121</v>
      </c>
      <c r="J124" s="2" t="s">
        <v>82</v>
      </c>
      <c r="K124" s="2" t="s">
        <v>83</v>
      </c>
      <c r="L124" s="2" t="s">
        <v>148</v>
      </c>
      <c r="M124" s="2"/>
      <c r="N124" s="2" t="s">
        <v>86</v>
      </c>
      <c r="O124" s="2" t="s">
        <v>152</v>
      </c>
    </row>
    <row r="125" spans="1:15" ht="25.5">
      <c r="A125" s="5" t="s">
        <v>413</v>
      </c>
      <c r="B125" t="str">
        <f>HYPERLINK("https://www.onsemi.com/PowerSolutions/product.do?id=MC74AC540","MC74AC540")</f>
        <v>MC74AC540</v>
      </c>
      <c r="C125" t="str">
        <f>HYPERLINK("https://www.onsemi.com/pub/Collateral/MC74AC540-D.PDF","MC74AC540/D (97kB)")</f>
        <v>MC74AC540/D (97kB)</v>
      </c>
      <c r="D125" t="s">
        <v>223</v>
      </c>
      <c r="E125" s="2" t="s">
        <v>23</v>
      </c>
      <c r="F125" t="s">
        <v>14</v>
      </c>
      <c r="H125" s="2" t="s">
        <v>68</v>
      </c>
      <c r="I125" s="2" t="s">
        <v>121</v>
      </c>
      <c r="J125" s="2" t="s">
        <v>82</v>
      </c>
      <c r="K125" s="2" t="s">
        <v>83</v>
      </c>
      <c r="L125" s="2" t="s">
        <v>83</v>
      </c>
      <c r="M125" s="2"/>
      <c r="N125" s="2" t="s">
        <v>86</v>
      </c>
      <c r="O125" s="2" t="s">
        <v>150</v>
      </c>
    </row>
    <row r="126" spans="1:15" ht="25.5">
      <c r="A126" s="5" t="s">
        <v>413</v>
      </c>
      <c r="B126" t="str">
        <f>HYPERLINK("https://www.onsemi.com/PowerSolutions/product.do?id=MC74AC541","MC74AC541")</f>
        <v>MC74AC541</v>
      </c>
      <c r="C126" t="str">
        <f>HYPERLINK("https://www.onsemi.com/pub/Collateral/MC74AC540-D.PDF","MC74AC540/D (97kB)")</f>
        <v>MC74AC540/D (97kB)</v>
      </c>
      <c r="D126" t="s">
        <v>223</v>
      </c>
      <c r="E126" s="2" t="s">
        <v>23</v>
      </c>
      <c r="F126" t="s">
        <v>14</v>
      </c>
      <c r="H126" s="2" t="s">
        <v>68</v>
      </c>
      <c r="I126" s="2" t="s">
        <v>121</v>
      </c>
      <c r="J126" s="2" t="s">
        <v>82</v>
      </c>
      <c r="K126" s="2" t="s">
        <v>83</v>
      </c>
      <c r="L126" s="2" t="s">
        <v>83</v>
      </c>
      <c r="M126" s="2"/>
      <c r="N126" s="2" t="s">
        <v>86</v>
      </c>
      <c r="O126" s="2" t="s">
        <v>152</v>
      </c>
    </row>
    <row r="127" spans="1:15" ht="25.5">
      <c r="A127" s="5" t="s">
        <v>413</v>
      </c>
      <c r="B127" t="str">
        <f>HYPERLINK("https://www.onsemi.com/PowerSolutions/product.do?id=MC74ACT05","MC74ACT05")</f>
        <v>MC74ACT05</v>
      </c>
      <c r="C127" t="str">
        <f>HYPERLINK("https://www.onsemi.com/pub/Collateral/MC74AC05-D.PDF","MC74AC05/D (81kB)")</f>
        <v>MC74AC05/D (81kB)</v>
      </c>
      <c r="D127" t="s">
        <v>224</v>
      </c>
      <c r="E127" s="2" t="s">
        <v>23</v>
      </c>
      <c r="F127" t="s">
        <v>14</v>
      </c>
      <c r="H127" s="2" t="s">
        <v>83</v>
      </c>
      <c r="I127" s="2" t="s">
        <v>219</v>
      </c>
      <c r="J127" s="2" t="s">
        <v>71</v>
      </c>
      <c r="K127" s="2" t="s">
        <v>89</v>
      </c>
      <c r="L127" s="2" t="s">
        <v>225</v>
      </c>
      <c r="M127" s="2"/>
      <c r="N127" s="2" t="s">
        <v>86</v>
      </c>
      <c r="O127" s="2" t="s">
        <v>69</v>
      </c>
    </row>
    <row r="128" spans="1:15" ht="51">
      <c r="A128" s="5" t="s">
        <v>413</v>
      </c>
      <c r="B128" t="str">
        <f>HYPERLINK("https://www.onsemi.com/PowerSolutions/product.do?id=MC74ACT125","MC74ACT125")</f>
        <v>MC74ACT125</v>
      </c>
      <c r="C128" t="str">
        <f>HYPERLINK("https://www.onsemi.com/pub/Collateral/MC74AC125-D.PDF","MC74AC125/D (86kB)")</f>
        <v>MC74AC125/D (86kB)</v>
      </c>
      <c r="D128" t="s">
        <v>220</v>
      </c>
      <c r="E128" s="2" t="s">
        <v>13</v>
      </c>
      <c r="F128" t="s">
        <v>14</v>
      </c>
      <c r="H128" s="2" t="s">
        <v>108</v>
      </c>
      <c r="I128" s="2" t="s">
        <v>121</v>
      </c>
      <c r="J128" s="2" t="s">
        <v>71</v>
      </c>
      <c r="K128" s="2" t="s">
        <v>89</v>
      </c>
      <c r="L128" s="2" t="s">
        <v>47</v>
      </c>
      <c r="M128" s="2"/>
      <c r="N128" s="2" t="s">
        <v>86</v>
      </c>
      <c r="O128" s="2" t="s">
        <v>69</v>
      </c>
    </row>
    <row r="129" spans="1:15" ht="25.5">
      <c r="A129" s="5" t="s">
        <v>413</v>
      </c>
      <c r="B129" t="str">
        <f>HYPERLINK("https://www.onsemi.com/PowerSolutions/product.do?id=MC74ACT14","MC74ACT14")</f>
        <v>MC74ACT14</v>
      </c>
      <c r="C129" t="str">
        <f>HYPERLINK("https://www.onsemi.com/pub/Collateral/MC74AC14-D.PDF","MC74AC14/D (82kB)")</f>
        <v>MC74AC14/D (82kB)</v>
      </c>
      <c r="D129" t="s">
        <v>147</v>
      </c>
      <c r="E129" s="2" t="s">
        <v>23</v>
      </c>
      <c r="F129" t="s">
        <v>14</v>
      </c>
      <c r="H129" s="2" t="s">
        <v>83</v>
      </c>
      <c r="I129" s="2" t="s">
        <v>117</v>
      </c>
      <c r="J129" s="2" t="s">
        <v>82</v>
      </c>
      <c r="K129" s="2" t="s">
        <v>89</v>
      </c>
      <c r="L129" s="2" t="s">
        <v>226</v>
      </c>
      <c r="M129" s="2"/>
      <c r="N129" s="2" t="s">
        <v>86</v>
      </c>
      <c r="O129" s="2" t="s">
        <v>69</v>
      </c>
    </row>
    <row r="130" spans="1:15" ht="25.5">
      <c r="A130" s="5" t="s">
        <v>413</v>
      </c>
      <c r="B130" t="str">
        <f>HYPERLINK("https://www.onsemi.com/PowerSolutions/product.do?id=MC74ACT240","MC74ACT240")</f>
        <v>MC74ACT240</v>
      </c>
      <c r="C130" t="str">
        <f>HYPERLINK("https://www.onsemi.com/pub/Collateral/MC74AC240-D.PDF","MC74AC240/D (90kB)")</f>
        <v>MC74AC240/D (90kB)</v>
      </c>
      <c r="D130" t="s">
        <v>222</v>
      </c>
      <c r="E130" s="2" t="s">
        <v>23</v>
      </c>
      <c r="F130" t="s">
        <v>14</v>
      </c>
      <c r="H130" s="2" t="s">
        <v>68</v>
      </c>
      <c r="I130" s="2" t="s">
        <v>121</v>
      </c>
      <c r="J130" s="2" t="s">
        <v>71</v>
      </c>
      <c r="K130" s="2" t="s">
        <v>89</v>
      </c>
      <c r="L130" s="2" t="s">
        <v>225</v>
      </c>
      <c r="M130" s="2"/>
      <c r="N130" s="2" t="s">
        <v>86</v>
      </c>
      <c r="O130" s="2" t="s">
        <v>152</v>
      </c>
    </row>
    <row r="131" spans="1:15" ht="25.5">
      <c r="A131" s="5" t="s">
        <v>413</v>
      </c>
      <c r="B131" t="str">
        <f>HYPERLINK("https://www.onsemi.com/PowerSolutions/product.do?id=MC74ACT241","MC74ACT241")</f>
        <v>MC74ACT241</v>
      </c>
      <c r="C131" t="str">
        <f>HYPERLINK("https://www.onsemi.com/pub/Collateral/MC74ACT241-D.PDF","MC74ACT241/D (83kB)")</f>
        <v>MC74ACT241/D (83kB)</v>
      </c>
      <c r="D131" t="s">
        <v>222</v>
      </c>
      <c r="E131" s="2" t="s">
        <v>23</v>
      </c>
      <c r="F131" t="s">
        <v>14</v>
      </c>
      <c r="H131" s="2" t="s">
        <v>68</v>
      </c>
      <c r="I131" s="2" t="s">
        <v>121</v>
      </c>
      <c r="J131" s="2" t="s">
        <v>71</v>
      </c>
      <c r="K131" s="2" t="s">
        <v>89</v>
      </c>
      <c r="L131" s="2" t="s">
        <v>47</v>
      </c>
      <c r="M131" s="2"/>
      <c r="N131" s="2" t="s">
        <v>86</v>
      </c>
      <c r="O131" s="2" t="s">
        <v>152</v>
      </c>
    </row>
    <row r="132" spans="1:15" ht="51">
      <c r="A132" s="5" t="s">
        <v>413</v>
      </c>
      <c r="B132" t="str">
        <f>HYPERLINK("https://www.onsemi.com/PowerSolutions/product.do?id=MC74ACT244","MC74ACT244")</f>
        <v>MC74ACT244</v>
      </c>
      <c r="C132" t="str">
        <f>HYPERLINK("https://www.onsemi.com/pub/Collateral/MC74AC244-D.PDF","MC74AC244/D (87kB)")</f>
        <v>MC74AC244/D (87kB)</v>
      </c>
      <c r="D132" t="s">
        <v>222</v>
      </c>
      <c r="E132" s="2" t="s">
        <v>13</v>
      </c>
      <c r="F132" t="s">
        <v>14</v>
      </c>
      <c r="H132" s="2" t="s">
        <v>68</v>
      </c>
      <c r="I132" s="2" t="s">
        <v>121</v>
      </c>
      <c r="J132" s="2" t="s">
        <v>71</v>
      </c>
      <c r="K132" s="2" t="s">
        <v>89</v>
      </c>
      <c r="L132" s="2" t="s">
        <v>47</v>
      </c>
      <c r="M132" s="2"/>
      <c r="N132" s="2" t="s">
        <v>86</v>
      </c>
      <c r="O132" s="2" t="s">
        <v>152</v>
      </c>
    </row>
    <row r="133" spans="1:15" ht="25.5">
      <c r="A133" s="5" t="s">
        <v>413</v>
      </c>
      <c r="B133" t="str">
        <f>HYPERLINK("https://www.onsemi.com/PowerSolutions/product.do?id=MC74ACT540","MC74ACT540")</f>
        <v>MC74ACT540</v>
      </c>
      <c r="C133" t="str">
        <f>HYPERLINK("https://www.onsemi.com/pub/Collateral/MC74AC540-D.PDF","MC74AC540/D (97kB)")</f>
        <v>MC74AC540/D (97kB)</v>
      </c>
      <c r="D133" t="s">
        <v>223</v>
      </c>
      <c r="E133" s="2" t="s">
        <v>23</v>
      </c>
      <c r="F133" t="s">
        <v>14</v>
      </c>
      <c r="H133" s="2" t="s">
        <v>68</v>
      </c>
      <c r="I133" s="2" t="s">
        <v>121</v>
      </c>
      <c r="J133" s="2" t="s">
        <v>71</v>
      </c>
      <c r="K133" s="2" t="s">
        <v>89</v>
      </c>
      <c r="L133" s="2" t="s">
        <v>68</v>
      </c>
      <c r="M133" s="2"/>
      <c r="N133" s="2" t="s">
        <v>86</v>
      </c>
      <c r="O133" s="2" t="s">
        <v>152</v>
      </c>
    </row>
    <row r="134" spans="1:15" ht="25.5">
      <c r="A134" s="5" t="s">
        <v>413</v>
      </c>
      <c r="B134" t="str">
        <f>HYPERLINK("https://www.onsemi.com/PowerSolutions/product.do?id=MC74ACT541","MC74ACT541")</f>
        <v>MC74ACT541</v>
      </c>
      <c r="C134" t="str">
        <f>HYPERLINK("https://www.onsemi.com/pub/Collateral/MC74AC540-D.PDF","MC74AC540/D (97kB)")</f>
        <v>MC74AC540/D (97kB)</v>
      </c>
      <c r="D134" t="s">
        <v>223</v>
      </c>
      <c r="E134" s="2" t="s">
        <v>23</v>
      </c>
      <c r="F134" t="s">
        <v>14</v>
      </c>
      <c r="H134" s="2" t="s">
        <v>68</v>
      </c>
      <c r="I134" s="2" t="s">
        <v>121</v>
      </c>
      <c r="J134" s="2" t="s">
        <v>71</v>
      </c>
      <c r="K134" s="2" t="s">
        <v>89</v>
      </c>
      <c r="L134" s="2" t="s">
        <v>118</v>
      </c>
      <c r="M134" s="2"/>
      <c r="N134" s="2" t="s">
        <v>86</v>
      </c>
      <c r="O134" s="2" t="s">
        <v>152</v>
      </c>
    </row>
    <row r="135" spans="1:15" ht="51">
      <c r="A135" s="5" t="s">
        <v>413</v>
      </c>
      <c r="B135" t="str">
        <f>HYPERLINK("https://www.onsemi.com/PowerSolutions/product.do?id=MC74HC04A","MC74HC04A")</f>
        <v>MC74HC04A</v>
      </c>
      <c r="C135" t="str">
        <f>HYPERLINK("https://www.onsemi.com/pub/Collateral/MC74HC04A-D.PDF","MC74HC04A/D (117kB)")</f>
        <v>MC74HC04A/D (117kB)</v>
      </c>
      <c r="D135" t="s">
        <v>145</v>
      </c>
      <c r="E135" s="2" t="s">
        <v>13</v>
      </c>
      <c r="F135" t="s">
        <v>14</v>
      </c>
      <c r="H135" s="2" t="s">
        <v>83</v>
      </c>
      <c r="I135" s="2" t="s">
        <v>117</v>
      </c>
      <c r="J135" s="2" t="s">
        <v>82</v>
      </c>
      <c r="K135" s="2" t="s">
        <v>83</v>
      </c>
      <c r="L135" s="2" t="s">
        <v>227</v>
      </c>
      <c r="M135" s="2"/>
      <c r="N135" s="2" t="s">
        <v>97</v>
      </c>
      <c r="O135" s="2" t="s">
        <v>69</v>
      </c>
    </row>
    <row r="136" spans="1:15" ht="51">
      <c r="A136" s="5" t="s">
        <v>413</v>
      </c>
      <c r="B136" t="str">
        <f>HYPERLINK("https://www.onsemi.com/PowerSolutions/product.do?id=MC74HC05A","MC74HC05A")</f>
        <v>MC74HC05A</v>
      </c>
      <c r="C136" t="str">
        <f>HYPERLINK("https://www.onsemi.com/pub/Collateral/MC74HC05A-D.PDF","MC74HC05A/D (117.0kB)")</f>
        <v>MC74HC05A/D (117.0kB)</v>
      </c>
      <c r="D136" t="s">
        <v>228</v>
      </c>
      <c r="E136" s="2" t="s">
        <v>13</v>
      </c>
      <c r="F136" t="s">
        <v>14</v>
      </c>
      <c r="H136" s="2" t="s">
        <v>83</v>
      </c>
      <c r="I136" s="2" t="s">
        <v>219</v>
      </c>
      <c r="J136" s="2" t="s">
        <v>82</v>
      </c>
      <c r="K136" s="2" t="s">
        <v>83</v>
      </c>
      <c r="L136" s="2" t="s">
        <v>229</v>
      </c>
      <c r="M136" s="2"/>
      <c r="N136" s="2" t="s">
        <v>97</v>
      </c>
      <c r="O136" s="2" t="s">
        <v>69</v>
      </c>
    </row>
    <row r="137" spans="1:15" ht="51">
      <c r="A137" s="5" t="s">
        <v>413</v>
      </c>
      <c r="B137" t="str">
        <f>HYPERLINK("https://www.onsemi.com/PowerSolutions/product.do?id=MC74HC125A","MC74HC125A")</f>
        <v>MC74HC125A</v>
      </c>
      <c r="C137" t="str">
        <f>HYPERLINK("https://www.onsemi.com/pub/Collateral/MC74HC125A-D.PDF","MC74HC125A/D (107kB)")</f>
        <v>MC74HC125A/D (107kB)</v>
      </c>
      <c r="D137" t="s">
        <v>230</v>
      </c>
      <c r="E137" s="2" t="s">
        <v>13</v>
      </c>
      <c r="F137" t="s">
        <v>14</v>
      </c>
      <c r="H137" s="2" t="s">
        <v>108</v>
      </c>
      <c r="I137" s="2" t="s">
        <v>121</v>
      </c>
      <c r="J137" s="2" t="s">
        <v>82</v>
      </c>
      <c r="K137" s="2" t="s">
        <v>83</v>
      </c>
      <c r="L137" s="2" t="s">
        <v>86</v>
      </c>
      <c r="M137" s="2"/>
      <c r="N137" s="2" t="s">
        <v>83</v>
      </c>
      <c r="O137" s="2" t="s">
        <v>69</v>
      </c>
    </row>
    <row r="138" spans="1:15" ht="51">
      <c r="A138" s="5" t="s">
        <v>413</v>
      </c>
      <c r="B138" t="str">
        <f>HYPERLINK("https://www.onsemi.com/PowerSolutions/product.do?id=MC74HC126A","MC74HC126A")</f>
        <v>MC74HC126A</v>
      </c>
      <c r="C138" t="str">
        <f>HYPERLINK("https://www.onsemi.com/pub/Collateral/MC74HC125A-D.PDF","MC74HC125A/D (107kB)")</f>
        <v>MC74HC125A/D (107kB)</v>
      </c>
      <c r="D138" t="s">
        <v>230</v>
      </c>
      <c r="E138" s="2" t="s">
        <v>13</v>
      </c>
      <c r="F138" t="s">
        <v>14</v>
      </c>
      <c r="H138" s="2" t="s">
        <v>108</v>
      </c>
      <c r="I138" s="2" t="s">
        <v>121</v>
      </c>
      <c r="J138" s="2" t="s">
        <v>82</v>
      </c>
      <c r="K138" s="2" t="s">
        <v>83</v>
      </c>
      <c r="L138" s="2" t="s">
        <v>86</v>
      </c>
      <c r="M138" s="2"/>
      <c r="N138" s="2" t="s">
        <v>83</v>
      </c>
      <c r="O138" s="2" t="s">
        <v>69</v>
      </c>
    </row>
    <row r="139" spans="1:15" ht="51">
      <c r="A139" s="5" t="s">
        <v>413</v>
      </c>
      <c r="B139" t="str">
        <f>HYPERLINK("https://www.onsemi.com/PowerSolutions/product.do?id=MC74HC14A","MC74HC14A")</f>
        <v>MC74HC14A</v>
      </c>
      <c r="C139" t="str">
        <f>HYPERLINK("https://www.onsemi.com/pub/Collateral/MC74HC14A-D.PDF","MC74HC14A/D (107kB)")</f>
        <v>MC74HC14A/D (107kB)</v>
      </c>
      <c r="D139" t="s">
        <v>147</v>
      </c>
      <c r="E139" s="2" t="s">
        <v>13</v>
      </c>
      <c r="F139" t="s">
        <v>14</v>
      </c>
      <c r="H139" s="2" t="s">
        <v>83</v>
      </c>
      <c r="I139" s="2" t="s">
        <v>117</v>
      </c>
      <c r="J139" s="2" t="s">
        <v>82</v>
      </c>
      <c r="K139" s="2" t="s">
        <v>83</v>
      </c>
      <c r="L139" s="2" t="s">
        <v>227</v>
      </c>
      <c r="M139" s="2"/>
      <c r="N139" s="2" t="s">
        <v>97</v>
      </c>
      <c r="O139" s="2" t="s">
        <v>69</v>
      </c>
    </row>
    <row r="140" spans="1:15" ht="51">
      <c r="A140" s="5" t="s">
        <v>413</v>
      </c>
      <c r="B140" t="str">
        <f>HYPERLINK("https://www.onsemi.com/PowerSolutions/product.do?id=MC74HC1G14","MC74HC1G14")</f>
        <v>MC74HC1G14</v>
      </c>
      <c r="C140" t="str">
        <f>HYPERLINK("https://www.onsemi.com/pub/Collateral/MC74HC1G14-D.PDF","MC74HC1G14/D (166kB)")</f>
        <v>MC74HC1G14/D (166kB)</v>
      </c>
      <c r="D140" t="s">
        <v>231</v>
      </c>
      <c r="E140" s="2" t="s">
        <v>13</v>
      </c>
      <c r="F140" t="s">
        <v>14</v>
      </c>
      <c r="H140" s="2" t="s">
        <v>116</v>
      </c>
      <c r="I140" s="2" t="s">
        <v>117</v>
      </c>
      <c r="J140" s="2" t="s">
        <v>82</v>
      </c>
      <c r="K140" s="2" t="s">
        <v>83</v>
      </c>
      <c r="L140" s="2" t="s">
        <v>232</v>
      </c>
      <c r="M140" s="2"/>
      <c r="N140" s="2" t="s">
        <v>82</v>
      </c>
      <c r="O140" s="2" t="s">
        <v>233</v>
      </c>
    </row>
    <row r="141" spans="1:15" ht="51">
      <c r="A141" s="5" t="s">
        <v>413</v>
      </c>
      <c r="B141" t="str">
        <f>HYPERLINK("https://www.onsemi.com/PowerSolutions/product.do?id=MC74HC240A","MC74HC240A")</f>
        <v>MC74HC240A</v>
      </c>
      <c r="C141" t="str">
        <f>HYPERLINK("https://www.onsemi.com/pub/Collateral/MC74HC240A-D.PDF","MC74HC240A/D (111kB)")</f>
        <v>MC74HC240A/D (111kB)</v>
      </c>
      <c r="D141" t="s">
        <v>234</v>
      </c>
      <c r="E141" s="2" t="s">
        <v>13</v>
      </c>
      <c r="F141" t="s">
        <v>14</v>
      </c>
      <c r="H141" s="2" t="s">
        <v>68</v>
      </c>
      <c r="I141" s="2" t="s">
        <v>121</v>
      </c>
      <c r="J141" s="2" t="s">
        <v>82</v>
      </c>
      <c r="K141" s="2" t="s">
        <v>83</v>
      </c>
      <c r="L141" s="2" t="s">
        <v>93</v>
      </c>
      <c r="M141" s="2"/>
      <c r="N141" s="2" t="s">
        <v>83</v>
      </c>
      <c r="O141" s="2" t="s">
        <v>152</v>
      </c>
    </row>
    <row r="142" spans="1:15" ht="51">
      <c r="A142" s="5" t="s">
        <v>413</v>
      </c>
      <c r="B142" t="str">
        <f>HYPERLINK("https://www.onsemi.com/PowerSolutions/product.do?id=MC74HC244A","MC74HC244A")</f>
        <v>MC74HC244A</v>
      </c>
      <c r="C142" t="str">
        <f>HYPERLINK("https://www.onsemi.com/pub/Collateral/MC74HC244A-D.PDF","MC74HC244A/D (112kB)")</f>
        <v>MC74HC244A/D (112kB)</v>
      </c>
      <c r="D142" t="s">
        <v>235</v>
      </c>
      <c r="E142" s="2" t="s">
        <v>13</v>
      </c>
      <c r="F142" t="s">
        <v>14</v>
      </c>
      <c r="H142" s="2" t="s">
        <v>68</v>
      </c>
      <c r="I142" s="2" t="s">
        <v>121</v>
      </c>
      <c r="J142" s="2" t="s">
        <v>82</v>
      </c>
      <c r="K142" s="2" t="s">
        <v>83</v>
      </c>
      <c r="L142" s="2" t="s">
        <v>93</v>
      </c>
      <c r="M142" s="2"/>
      <c r="N142" s="2" t="s">
        <v>83</v>
      </c>
      <c r="O142" s="2" t="s">
        <v>152</v>
      </c>
    </row>
    <row r="143" spans="1:15" ht="25.5">
      <c r="A143" s="5" t="s">
        <v>413</v>
      </c>
      <c r="B143" t="str">
        <f>HYPERLINK("https://www.onsemi.com/PowerSolutions/product.do?id=MC74HC365A","MC74HC365A")</f>
        <v>MC74HC365A</v>
      </c>
      <c r="C143" t="str">
        <f>HYPERLINK("https://www.onsemi.com/pub/Collateral/MC74HC365A-D.PDF","MC74HC365A/D (154kB)")</f>
        <v>MC74HC365A/D (154kB)</v>
      </c>
      <c r="D143" t="s">
        <v>236</v>
      </c>
      <c r="E143" s="2" t="s">
        <v>23</v>
      </c>
      <c r="F143" t="s">
        <v>14</v>
      </c>
      <c r="H143" s="2" t="s">
        <v>83</v>
      </c>
      <c r="I143" s="2" t="s">
        <v>121</v>
      </c>
      <c r="J143" s="2" t="s">
        <v>82</v>
      </c>
      <c r="K143" s="2" t="s">
        <v>83</v>
      </c>
      <c r="L143" s="2" t="s">
        <v>232</v>
      </c>
      <c r="M143" s="2"/>
      <c r="N143" s="2" t="s">
        <v>237</v>
      </c>
      <c r="O143" s="2" t="s">
        <v>42</v>
      </c>
    </row>
    <row r="144" spans="1:15" ht="25.5">
      <c r="A144" s="5" t="s">
        <v>413</v>
      </c>
      <c r="B144" t="str">
        <f>HYPERLINK("https://www.onsemi.com/PowerSolutions/product.do?id=MC74HC367A","MC74HC367A")</f>
        <v>MC74HC367A</v>
      </c>
      <c r="C144" t="str">
        <f>HYPERLINK("https://www.onsemi.com/pub/Collateral/MC74HC367A-D.PDF","MC74HC367A/D (123.0kB)")</f>
        <v>MC74HC367A/D (123.0kB)</v>
      </c>
      <c r="D144" t="s">
        <v>238</v>
      </c>
      <c r="E144" s="2" t="s">
        <v>23</v>
      </c>
      <c r="F144" t="s">
        <v>14</v>
      </c>
      <c r="H144" s="2" t="s">
        <v>83</v>
      </c>
      <c r="I144" s="2" t="s">
        <v>121</v>
      </c>
      <c r="J144" s="2" t="s">
        <v>82</v>
      </c>
      <c r="K144" s="2" t="s">
        <v>83</v>
      </c>
      <c r="L144" s="2" t="s">
        <v>86</v>
      </c>
      <c r="M144" s="2"/>
      <c r="N144" s="2" t="s">
        <v>86</v>
      </c>
      <c r="O144" s="2" t="s">
        <v>42</v>
      </c>
    </row>
    <row r="145" spans="1:15" ht="51">
      <c r="A145" s="5" t="s">
        <v>413</v>
      </c>
      <c r="B145" t="str">
        <f>HYPERLINK("https://www.onsemi.com/PowerSolutions/product.do?id=MC74HC540A","MC74HC540A")</f>
        <v>MC74HC540A</v>
      </c>
      <c r="C145" t="str">
        <f>HYPERLINK("https://www.onsemi.com/pub/Collateral/MC74HC540A-D.PDF","MC74HC540A/D (109kB)")</f>
        <v>MC74HC540A/D (109kB)</v>
      </c>
      <c r="D145" t="s">
        <v>239</v>
      </c>
      <c r="E145" s="2" t="s">
        <v>13</v>
      </c>
      <c r="F145" t="s">
        <v>14</v>
      </c>
      <c r="H145" s="2" t="s">
        <v>68</v>
      </c>
      <c r="I145" s="2" t="s">
        <v>121</v>
      </c>
      <c r="J145" s="2" t="s">
        <v>82</v>
      </c>
      <c r="K145" s="2" t="s">
        <v>83</v>
      </c>
      <c r="L145" s="2" t="s">
        <v>95</v>
      </c>
      <c r="M145" s="2"/>
      <c r="N145" s="2" t="s">
        <v>83</v>
      </c>
      <c r="O145" s="2" t="s">
        <v>152</v>
      </c>
    </row>
    <row r="146" spans="1:15" ht="51">
      <c r="A146" s="5" t="s">
        <v>413</v>
      </c>
      <c r="B146" t="str">
        <f>HYPERLINK("https://www.onsemi.com/PowerSolutions/product.do?id=MC74HC541A","MC74HC541A")</f>
        <v>MC74HC541A</v>
      </c>
      <c r="C146" t="str">
        <f>HYPERLINK("https://www.onsemi.com/pub/Collateral/MC74HC541A-D.PDF","MC74HC541A/D (111kB)")</f>
        <v>MC74HC541A/D (111kB)</v>
      </c>
      <c r="D146" t="s">
        <v>240</v>
      </c>
      <c r="E146" s="2" t="s">
        <v>13</v>
      </c>
      <c r="F146" t="s">
        <v>14</v>
      </c>
      <c r="H146" s="2" t="s">
        <v>68</v>
      </c>
      <c r="I146" s="2" t="s">
        <v>121</v>
      </c>
      <c r="J146" s="2" t="s">
        <v>82</v>
      </c>
      <c r="K146" s="2" t="s">
        <v>83</v>
      </c>
      <c r="L146" s="2" t="s">
        <v>95</v>
      </c>
      <c r="M146" s="2"/>
      <c r="N146" s="2" t="s">
        <v>83</v>
      </c>
      <c r="O146" s="2" t="s">
        <v>152</v>
      </c>
    </row>
    <row r="147" spans="1:15" ht="51">
      <c r="A147" s="5" t="s">
        <v>413</v>
      </c>
      <c r="B147" t="str">
        <f>HYPERLINK("https://www.onsemi.com/PowerSolutions/product.do?id=MC74HCT125A","MC74HCT125A")</f>
        <v>MC74HCT125A</v>
      </c>
      <c r="C147" t="str">
        <f>HYPERLINK("https://www.onsemi.com/pub/Collateral/MC74HCT125A-D.PDF","MC74HCT125A/D (80kB)")</f>
        <v>MC74HCT125A/D (80kB)</v>
      </c>
      <c r="D147" t="s">
        <v>241</v>
      </c>
      <c r="E147" s="2" t="s">
        <v>13</v>
      </c>
      <c r="F147" t="s">
        <v>14</v>
      </c>
      <c r="H147" s="2" t="s">
        <v>108</v>
      </c>
      <c r="I147" s="2" t="s">
        <v>121</v>
      </c>
      <c r="J147" s="2" t="s">
        <v>71</v>
      </c>
      <c r="K147" s="2" t="s">
        <v>89</v>
      </c>
      <c r="L147" s="2" t="s">
        <v>17</v>
      </c>
      <c r="M147" s="2"/>
      <c r="N147" s="2" t="s">
        <v>83</v>
      </c>
      <c r="O147" s="2" t="s">
        <v>69</v>
      </c>
    </row>
    <row r="148" spans="1:15" ht="51">
      <c r="A148" s="5" t="s">
        <v>413</v>
      </c>
      <c r="B148" t="str">
        <f>HYPERLINK("https://www.onsemi.com/PowerSolutions/product.do?id=MC74HCT14A","MC74HCT14A")</f>
        <v>MC74HCT14A</v>
      </c>
      <c r="C148" t="str">
        <f>HYPERLINK("https://www.onsemi.com/pub/Collateral/MC74HCT14A-D.PDF","MC74HCT14A/D (78kB)")</f>
        <v>MC74HCT14A/D (78kB)</v>
      </c>
      <c r="D148" t="s">
        <v>147</v>
      </c>
      <c r="E148" s="2" t="s">
        <v>13</v>
      </c>
      <c r="F148" t="s">
        <v>14</v>
      </c>
      <c r="H148" s="2" t="s">
        <v>83</v>
      </c>
      <c r="I148" s="2" t="s">
        <v>117</v>
      </c>
      <c r="J148" s="2" t="s">
        <v>71</v>
      </c>
      <c r="K148" s="2" t="s">
        <v>89</v>
      </c>
      <c r="L148" s="2" t="s">
        <v>143</v>
      </c>
      <c r="M148" s="2"/>
      <c r="N148" s="2" t="s">
        <v>108</v>
      </c>
      <c r="O148" s="2" t="s">
        <v>69</v>
      </c>
    </row>
    <row r="149" spans="1:15" ht="25.5">
      <c r="A149" s="5" t="s">
        <v>413</v>
      </c>
      <c r="B149" t="str">
        <f>HYPERLINK("https://www.onsemi.com/PowerSolutions/product.do?id=MC74HCT241A","MC74HCT241A")</f>
        <v>MC74HCT241A</v>
      </c>
      <c r="C149" t="str">
        <f>HYPERLINK("https://www.onsemi.com/pub/Collateral/MC74HCT241A-D.PDF","MC74HCT241A/D (164.0kB)")</f>
        <v>MC74HCT241A/D (164.0kB)</v>
      </c>
      <c r="D149" t="s">
        <v>242</v>
      </c>
      <c r="E149" s="2" t="s">
        <v>23</v>
      </c>
      <c r="F149" t="s">
        <v>14</v>
      </c>
      <c r="H149" s="2" t="s">
        <v>68</v>
      </c>
      <c r="I149" s="2" t="s">
        <v>121</v>
      </c>
      <c r="J149" s="2" t="s">
        <v>71</v>
      </c>
      <c r="K149" s="2" t="s">
        <v>89</v>
      </c>
      <c r="L149" s="2" t="s">
        <v>243</v>
      </c>
      <c r="M149" s="2"/>
      <c r="N149" s="2" t="s">
        <v>83</v>
      </c>
      <c r="O149" s="2" t="s">
        <v>152</v>
      </c>
    </row>
    <row r="150" spans="1:15" ht="51">
      <c r="A150" s="5" t="s">
        <v>413</v>
      </c>
      <c r="B150" t="str">
        <f>HYPERLINK("https://www.onsemi.com/PowerSolutions/product.do?id=MC74HCT244A","MC74HCT244A")</f>
        <v>MC74HCT244A</v>
      </c>
      <c r="C150" t="str">
        <f>HYPERLINK("https://www.onsemi.com/pub/Collateral/MC74HCT244A-D.PDF","MC74HCT244A/D (113kB)")</f>
        <v>MC74HCT244A/D (113kB)</v>
      </c>
      <c r="D150" t="s">
        <v>244</v>
      </c>
      <c r="E150" s="2" t="s">
        <v>13</v>
      </c>
      <c r="F150" t="s">
        <v>14</v>
      </c>
      <c r="H150" s="2" t="s">
        <v>68</v>
      </c>
      <c r="I150" s="2" t="s">
        <v>121</v>
      </c>
      <c r="J150" s="2" t="s">
        <v>71</v>
      </c>
      <c r="K150" s="2" t="s">
        <v>89</v>
      </c>
      <c r="L150" s="2" t="s">
        <v>245</v>
      </c>
      <c r="M150" s="2"/>
      <c r="N150" s="2" t="s">
        <v>83</v>
      </c>
      <c r="O150" s="2" t="s">
        <v>152</v>
      </c>
    </row>
    <row r="151" spans="1:15" ht="25.5">
      <c r="A151" s="5" t="s">
        <v>413</v>
      </c>
      <c r="B151" t="str">
        <f>HYPERLINK("https://www.onsemi.com/PowerSolutions/product.do?id=MC74HCT365A","MC74HCT365A")</f>
        <v>MC74HCT365A</v>
      </c>
      <c r="C151" t="str">
        <f>HYPERLINK("https://www.onsemi.com/pub/Collateral/MC74HCT365A-D.PDF","MC74HCT365A/D (118.0kB)")</f>
        <v>MC74HCT365A/D (118.0kB)</v>
      </c>
      <c r="D151" t="s">
        <v>246</v>
      </c>
      <c r="E151" s="2" t="s">
        <v>23</v>
      </c>
      <c r="F151" t="s">
        <v>14</v>
      </c>
      <c r="H151" s="2" t="s">
        <v>83</v>
      </c>
      <c r="I151" s="2" t="s">
        <v>121</v>
      </c>
      <c r="J151" s="2" t="s">
        <v>71</v>
      </c>
      <c r="K151" s="2" t="s">
        <v>89</v>
      </c>
      <c r="L151" s="2" t="s">
        <v>171</v>
      </c>
      <c r="M151" s="2"/>
      <c r="N151" s="2" t="s">
        <v>83</v>
      </c>
      <c r="O151" s="2" t="s">
        <v>42</v>
      </c>
    </row>
    <row r="152" spans="1:15" ht="51">
      <c r="A152" s="5" t="s">
        <v>413</v>
      </c>
      <c r="B152" t="str">
        <f>HYPERLINK("https://www.onsemi.com/PowerSolutions/product.do?id=MC74HCT366A","MC74HCT366A")</f>
        <v>MC74HCT366A</v>
      </c>
      <c r="C152" t="str">
        <f>HYPERLINK("https://www.onsemi.com/pub/Collateral/MC74HCT366A-D.PDF","MC74HCT366A/D (125kB)")</f>
        <v>MC74HCT366A/D (125kB)</v>
      </c>
      <c r="D152" t="s">
        <v>247</v>
      </c>
      <c r="E152" s="2" t="s">
        <v>13</v>
      </c>
      <c r="F152" t="s">
        <v>14</v>
      </c>
      <c r="H152" s="2" t="s">
        <v>83</v>
      </c>
      <c r="I152" s="2" t="s">
        <v>121</v>
      </c>
      <c r="J152" s="2" t="s">
        <v>71</v>
      </c>
      <c r="K152" s="2" t="s">
        <v>89</v>
      </c>
      <c r="L152" s="2" t="s">
        <v>86</v>
      </c>
      <c r="M152" s="2"/>
      <c r="N152" s="2" t="s">
        <v>83</v>
      </c>
      <c r="O152" s="2" t="s">
        <v>42</v>
      </c>
    </row>
    <row r="153" spans="1:15" ht="51">
      <c r="A153" s="5" t="s">
        <v>413</v>
      </c>
      <c r="B153" t="str">
        <f>HYPERLINK("https://www.onsemi.com/PowerSolutions/product.do?id=MC74HCT541A","MC74HCT541A")</f>
        <v>MC74HCT541A</v>
      </c>
      <c r="C153" t="str">
        <f>HYPERLINK("https://www.onsemi.com/pub/Collateral/MC74HCT541A-D.PDF","MC74HCT541A/D (87kB)")</f>
        <v>MC74HCT541A/D (87kB)</v>
      </c>
      <c r="D153" t="s">
        <v>248</v>
      </c>
      <c r="E153" s="2" t="s">
        <v>13</v>
      </c>
      <c r="F153" t="s">
        <v>14</v>
      </c>
      <c r="H153" s="2" t="s">
        <v>68</v>
      </c>
      <c r="I153" s="2" t="s">
        <v>121</v>
      </c>
      <c r="J153" s="2" t="s">
        <v>71</v>
      </c>
      <c r="K153" s="2" t="s">
        <v>89</v>
      </c>
      <c r="L153" s="2" t="s">
        <v>249</v>
      </c>
      <c r="M153" s="2"/>
      <c r="N153" s="2" t="s">
        <v>83</v>
      </c>
      <c r="O153" s="2" t="s">
        <v>152</v>
      </c>
    </row>
    <row r="154" spans="1:15" ht="51">
      <c r="A154" s="5" t="s">
        <v>413</v>
      </c>
      <c r="B154" t="str">
        <f>HYPERLINK("https://www.onsemi.com/PowerSolutions/product.do?id=MC74LCX04","MC74LCX04")</f>
        <v>MC74LCX04</v>
      </c>
      <c r="C154" t="str">
        <f>HYPERLINK("https://www.onsemi.com/pub/Collateral/MC74LCX04-D.PDF","MC74LCX04/D (104kB)")</f>
        <v>MC74LCX04/D (104kB)</v>
      </c>
      <c r="D154" t="s">
        <v>250</v>
      </c>
      <c r="E154" s="2" t="s">
        <v>13</v>
      </c>
      <c r="F154" t="s">
        <v>14</v>
      </c>
      <c r="H154" s="2" t="s">
        <v>83</v>
      </c>
      <c r="I154" s="2" t="s">
        <v>117</v>
      </c>
      <c r="J154" s="2" t="s">
        <v>82</v>
      </c>
      <c r="K154" s="2" t="s">
        <v>89</v>
      </c>
      <c r="L154" s="2" t="s">
        <v>97</v>
      </c>
      <c r="M154" s="2"/>
      <c r="N154" s="2" t="s">
        <v>86</v>
      </c>
      <c r="O154" s="2" t="s">
        <v>69</v>
      </c>
    </row>
    <row r="155" spans="1:15" ht="25.5">
      <c r="A155" s="5" t="s">
        <v>413</v>
      </c>
      <c r="B155" t="str">
        <f>HYPERLINK("https://www.onsemi.com/PowerSolutions/product.do?id=MC74LCX06","MC74LCX06")</f>
        <v>MC74LCX06</v>
      </c>
      <c r="C155" t="str">
        <f>HYPERLINK("https://www.onsemi.com/pub/Collateral/MC74LCX06-D.PDF","MC74LCX06/D (149.0kB)")</f>
        <v>MC74LCX06/D (149.0kB)</v>
      </c>
      <c r="D155" t="s">
        <v>251</v>
      </c>
      <c r="E155" s="2" t="s">
        <v>23</v>
      </c>
      <c r="F155" t="s">
        <v>14</v>
      </c>
      <c r="H155" s="2" t="s">
        <v>83</v>
      </c>
      <c r="I155" s="2" t="s">
        <v>219</v>
      </c>
      <c r="J155" s="2" t="s">
        <v>82</v>
      </c>
      <c r="K155" s="2" t="s">
        <v>131</v>
      </c>
      <c r="L155" s="2" t="s">
        <v>159</v>
      </c>
      <c r="M155" s="2"/>
      <c r="N155" s="2" t="s">
        <v>86</v>
      </c>
      <c r="O155" s="2" t="s">
        <v>69</v>
      </c>
    </row>
    <row r="156" spans="1:15" ht="25.5">
      <c r="A156" s="5" t="s">
        <v>413</v>
      </c>
      <c r="B156" t="str">
        <f>HYPERLINK("https://www.onsemi.com/PowerSolutions/product.do?id=MC74LCX07","MC74LCX07")</f>
        <v>MC74LCX07</v>
      </c>
      <c r="C156" t="str">
        <f>HYPERLINK("https://www.onsemi.com/pub/Collateral/MC74LCX07-D.PDF","MC74LCX07/D (151.0kB)")</f>
        <v>MC74LCX07/D (151.0kB)</v>
      </c>
      <c r="D156" t="s">
        <v>252</v>
      </c>
      <c r="E156" s="2" t="s">
        <v>23</v>
      </c>
      <c r="F156" t="s">
        <v>14</v>
      </c>
      <c r="H156" s="2" t="s">
        <v>83</v>
      </c>
      <c r="I156" s="2" t="s">
        <v>219</v>
      </c>
      <c r="J156" s="2" t="s">
        <v>82</v>
      </c>
      <c r="K156" s="2" t="s">
        <v>89</v>
      </c>
      <c r="L156" s="2" t="s">
        <v>16</v>
      </c>
      <c r="M156" s="2"/>
      <c r="N156" s="2" t="s">
        <v>86</v>
      </c>
      <c r="O156" s="2" t="s">
        <v>69</v>
      </c>
    </row>
    <row r="157" spans="1:15" ht="51">
      <c r="A157" s="5" t="s">
        <v>413</v>
      </c>
      <c r="B157" t="str">
        <f>HYPERLINK("https://www.onsemi.com/PowerSolutions/product.do?id=MC74LCX125","MC74LCX125")</f>
        <v>MC74LCX125</v>
      </c>
      <c r="C157" t="str">
        <f>HYPERLINK("https://www.onsemi.com/pub/Collateral/MC74LCX125-D.PDF","MC74LCX125/D (154.0kB)")</f>
        <v>MC74LCX125/D (154.0kB)</v>
      </c>
      <c r="D157" t="s">
        <v>253</v>
      </c>
      <c r="E157" s="2" t="s">
        <v>13</v>
      </c>
      <c r="F157" t="s">
        <v>14</v>
      </c>
      <c r="H157" s="2" t="s">
        <v>108</v>
      </c>
      <c r="I157" s="2" t="s">
        <v>121</v>
      </c>
      <c r="J157" s="2" t="s">
        <v>82</v>
      </c>
      <c r="K157" s="2" t="s">
        <v>131</v>
      </c>
      <c r="L157" s="2" t="s">
        <v>83</v>
      </c>
      <c r="M157" s="2"/>
      <c r="N157" s="2" t="s">
        <v>86</v>
      </c>
      <c r="O157" s="2" t="s">
        <v>69</v>
      </c>
    </row>
    <row r="158" spans="1:15" ht="25.5">
      <c r="A158" s="5" t="s">
        <v>413</v>
      </c>
      <c r="B158" t="str">
        <f>HYPERLINK("https://www.onsemi.com/PowerSolutions/product.do?id=MC74LCX16240","MC74LCX16240")</f>
        <v>MC74LCX16240</v>
      </c>
      <c r="C158" t="str">
        <f>HYPERLINK("https://www.onsemi.com/pub/Collateral/MC74LCX16240-D.PDF","MC74LCX16240/D (124.0kB)")</f>
        <v>MC74LCX16240/D (124.0kB)</v>
      </c>
      <c r="D158" t="s">
        <v>254</v>
      </c>
      <c r="E158" s="2" t="s">
        <v>23</v>
      </c>
      <c r="F158" t="s">
        <v>14</v>
      </c>
      <c r="H158" s="2" t="s">
        <v>72</v>
      </c>
      <c r="I158" s="2" t="s">
        <v>121</v>
      </c>
      <c r="J158" s="2" t="s">
        <v>82</v>
      </c>
      <c r="K158" s="2" t="s">
        <v>131</v>
      </c>
      <c r="L158" s="2" t="s">
        <v>71</v>
      </c>
      <c r="M158" s="2"/>
      <c r="N158" s="2" t="s">
        <v>86</v>
      </c>
      <c r="O158" s="2" t="s">
        <v>154</v>
      </c>
    </row>
    <row r="159" spans="1:15" ht="25.5">
      <c r="A159" s="5" t="s">
        <v>413</v>
      </c>
      <c r="B159" t="str">
        <f>HYPERLINK("https://www.onsemi.com/PowerSolutions/product.do?id=MC74LCX16244","MC74LCX16244")</f>
        <v>MC74LCX16244</v>
      </c>
      <c r="C159" t="str">
        <f>HYPERLINK("https://www.onsemi.com/pub/Collateral/MC74LCX16244-D.PDF","MC74LCX16244/D (123.0kB)")</f>
        <v>MC74LCX16244/D (123.0kB)</v>
      </c>
      <c r="D159" t="s">
        <v>254</v>
      </c>
      <c r="E159" s="2" t="s">
        <v>23</v>
      </c>
      <c r="F159" t="s">
        <v>14</v>
      </c>
      <c r="H159" s="2" t="s">
        <v>72</v>
      </c>
      <c r="I159" s="2" t="s">
        <v>121</v>
      </c>
      <c r="J159" s="2" t="s">
        <v>82</v>
      </c>
      <c r="K159" s="2" t="s">
        <v>131</v>
      </c>
      <c r="L159" s="2" t="s">
        <v>71</v>
      </c>
      <c r="M159" s="2"/>
      <c r="N159" s="2" t="s">
        <v>86</v>
      </c>
      <c r="O159" s="2" t="s">
        <v>154</v>
      </c>
    </row>
    <row r="160" spans="1:15" ht="25.5">
      <c r="A160" s="5" t="s">
        <v>413</v>
      </c>
      <c r="B160" t="str">
        <f>HYPERLINK("https://www.onsemi.com/PowerSolutions/product.do?id=MC74LCX240","MC74LCX240")</f>
        <v>MC74LCX240</v>
      </c>
      <c r="C160" t="str">
        <f>HYPERLINK("https://www.onsemi.com/pub/Collateral/MC74LCX240-D.PDF","MC74LCX240/D (127kB)")</f>
        <v>MC74LCX240/D (127kB)</v>
      </c>
      <c r="D160" t="s">
        <v>255</v>
      </c>
      <c r="E160" s="2" t="s">
        <v>23</v>
      </c>
      <c r="F160" t="s">
        <v>14</v>
      </c>
      <c r="H160" s="2" t="s">
        <v>68</v>
      </c>
      <c r="I160" s="2" t="s">
        <v>121</v>
      </c>
      <c r="J160" s="2" t="s">
        <v>82</v>
      </c>
      <c r="K160" s="2" t="s">
        <v>131</v>
      </c>
      <c r="L160" s="2" t="s">
        <v>168</v>
      </c>
      <c r="M160" s="2"/>
      <c r="N160" s="2" t="s">
        <v>86</v>
      </c>
      <c r="O160" s="2" t="s">
        <v>152</v>
      </c>
    </row>
    <row r="161" spans="1:15" ht="51">
      <c r="A161" s="5" t="s">
        <v>413</v>
      </c>
      <c r="B161" t="str">
        <f>HYPERLINK("https://www.onsemi.com/PowerSolutions/product.do?id=MC74LCX244","MC74LCX244")</f>
        <v>MC74LCX244</v>
      </c>
      <c r="C161" t="str">
        <f>HYPERLINK("https://www.onsemi.com/pub/Collateral/MC74LCX244-D.PDF","MC74LCX244/D (107kB)")</f>
        <v>MC74LCX244/D (107kB)</v>
      </c>
      <c r="D161" t="s">
        <v>256</v>
      </c>
      <c r="E161" s="2" t="s">
        <v>13</v>
      </c>
      <c r="F161" t="s">
        <v>14</v>
      </c>
      <c r="H161" s="2" t="s">
        <v>68</v>
      </c>
      <c r="I161" s="2" t="s">
        <v>121</v>
      </c>
      <c r="J161" s="2" t="s">
        <v>82</v>
      </c>
      <c r="K161" s="2" t="s">
        <v>131</v>
      </c>
      <c r="L161" s="2" t="s">
        <v>168</v>
      </c>
      <c r="M161" s="2"/>
      <c r="N161" s="2" t="s">
        <v>86</v>
      </c>
      <c r="O161" s="2" t="s">
        <v>257</v>
      </c>
    </row>
    <row r="162" spans="1:15" ht="25.5">
      <c r="A162" s="5" t="s">
        <v>413</v>
      </c>
      <c r="B162" t="str">
        <f>HYPERLINK("https://www.onsemi.com/PowerSolutions/product.do?id=MC74LCX540","MC74LCX540")</f>
        <v>MC74LCX540</v>
      </c>
      <c r="C162" t="str">
        <f>HYPERLINK("https://www.onsemi.com/pub/Collateral/MC74LCX540-D.PDF","MC74LCX540/D (126.0kB)")</f>
        <v>MC74LCX540/D (126.0kB)</v>
      </c>
      <c r="D162" t="s">
        <v>258</v>
      </c>
      <c r="E162" s="2" t="s">
        <v>23</v>
      </c>
      <c r="F162" t="s">
        <v>14</v>
      </c>
      <c r="H162" s="2" t="s">
        <v>68</v>
      </c>
      <c r="I162" s="2" t="s">
        <v>121</v>
      </c>
      <c r="J162" s="2" t="s">
        <v>82</v>
      </c>
      <c r="K162" s="2" t="s">
        <v>131</v>
      </c>
      <c r="L162" s="2" t="s">
        <v>168</v>
      </c>
      <c r="M162" s="2"/>
      <c r="N162" s="2" t="s">
        <v>86</v>
      </c>
      <c r="O162" s="2" t="s">
        <v>152</v>
      </c>
    </row>
    <row r="163" spans="1:15" ht="25.5">
      <c r="A163" s="5" t="s">
        <v>413</v>
      </c>
      <c r="B163" t="str">
        <f>HYPERLINK("https://www.onsemi.com/PowerSolutions/product.do?id=MC74LCX541","MC74LCX541")</f>
        <v>MC74LCX541</v>
      </c>
      <c r="C163" t="str">
        <f>HYPERLINK("https://www.onsemi.com/pub/Collateral/MC74LCX541-D.PDF","MC74LCX541/D (112kB)")</f>
        <v>MC74LCX541/D (112kB)</v>
      </c>
      <c r="D163" t="s">
        <v>258</v>
      </c>
      <c r="E163" s="2" t="s">
        <v>23</v>
      </c>
      <c r="F163" t="s">
        <v>14</v>
      </c>
      <c r="H163" s="2" t="s">
        <v>68</v>
      </c>
      <c r="I163" s="2" t="s">
        <v>121</v>
      </c>
      <c r="J163" s="2" t="s">
        <v>82</v>
      </c>
      <c r="K163" s="2" t="s">
        <v>131</v>
      </c>
      <c r="L163" s="2" t="s">
        <v>168</v>
      </c>
      <c r="M163" s="2"/>
      <c r="N163" s="2" t="s">
        <v>86</v>
      </c>
      <c r="O163" s="2" t="s">
        <v>152</v>
      </c>
    </row>
    <row r="164" spans="1:15" ht="25.5">
      <c r="A164" s="5" t="s">
        <v>413</v>
      </c>
      <c r="B164" t="str">
        <f>HYPERLINK("https://www.onsemi.com/PowerSolutions/product.do?id=MC74LVX125","MC74LVX125")</f>
        <v>MC74LVX125</v>
      </c>
      <c r="C164" t="str">
        <f>HYPERLINK("https://www.onsemi.com/pub/Collateral/MC74LVX125-D.PDF","MC74LVX125/D (104kB)")</f>
        <v>MC74LVX125/D (104kB)</v>
      </c>
      <c r="D164" t="s">
        <v>259</v>
      </c>
      <c r="E164" s="2" t="s">
        <v>23</v>
      </c>
      <c r="F164" t="s">
        <v>14</v>
      </c>
      <c r="H164" s="2" t="s">
        <v>108</v>
      </c>
      <c r="I164" s="2" t="s">
        <v>121</v>
      </c>
      <c r="J164" s="2" t="s">
        <v>82</v>
      </c>
      <c r="K164" s="2" t="s">
        <v>131</v>
      </c>
      <c r="L164" s="2" t="s">
        <v>260</v>
      </c>
      <c r="M164" s="2"/>
      <c r="N164" s="2" t="s">
        <v>108</v>
      </c>
      <c r="O164" s="2" t="s">
        <v>69</v>
      </c>
    </row>
    <row r="165" spans="1:15" ht="25.5">
      <c r="A165" s="5" t="s">
        <v>413</v>
      </c>
      <c r="B165" t="str">
        <f>HYPERLINK("https://www.onsemi.com/PowerSolutions/product.do?id=MC74LVX240","MC74LVX240")</f>
        <v>MC74LVX240</v>
      </c>
      <c r="C165" t="str">
        <f>HYPERLINK("https://www.onsemi.com/pub/Collateral/MC74LVX240-D.PDF","MC74LVX240/D (128kB)")</f>
        <v>MC74LVX240/D (128kB)</v>
      </c>
      <c r="D165" t="s">
        <v>261</v>
      </c>
      <c r="E165" s="2" t="s">
        <v>23</v>
      </c>
      <c r="F165" t="s">
        <v>14</v>
      </c>
      <c r="H165" s="2" t="s">
        <v>68</v>
      </c>
      <c r="I165" s="2" t="s">
        <v>121</v>
      </c>
      <c r="J165" s="2" t="s">
        <v>82</v>
      </c>
      <c r="K165" s="2" t="s">
        <v>131</v>
      </c>
      <c r="L165" s="2" t="s">
        <v>260</v>
      </c>
      <c r="M165" s="2"/>
      <c r="N165" s="2" t="s">
        <v>108</v>
      </c>
      <c r="O165" s="2" t="s">
        <v>152</v>
      </c>
    </row>
    <row r="166" spans="1:15" ht="25.5">
      <c r="A166" s="5" t="s">
        <v>413</v>
      </c>
      <c r="B166" t="str">
        <f>HYPERLINK("https://www.onsemi.com/PowerSolutions/product.do?id=MC74LVX244","MC74LVX244")</f>
        <v>MC74LVX244</v>
      </c>
      <c r="C166" t="str">
        <f>HYPERLINK("https://www.onsemi.com/pub/Collateral/MC74LVX244-D.PDF","MC74LVX244/D (105kB)")</f>
        <v>MC74LVX244/D (105kB)</v>
      </c>
      <c r="D166" t="s">
        <v>262</v>
      </c>
      <c r="E166" s="2" t="s">
        <v>23</v>
      </c>
      <c r="F166" t="s">
        <v>14</v>
      </c>
      <c r="H166" s="2" t="s">
        <v>68</v>
      </c>
      <c r="I166" s="2" t="s">
        <v>121</v>
      </c>
      <c r="J166" s="2" t="s">
        <v>82</v>
      </c>
      <c r="K166" s="2" t="s">
        <v>131</v>
      </c>
      <c r="L166" s="2" t="s">
        <v>263</v>
      </c>
      <c r="M166" s="2"/>
      <c r="N166" s="2" t="s">
        <v>108</v>
      </c>
      <c r="O166" s="2" t="s">
        <v>152</v>
      </c>
    </row>
    <row r="167" spans="1:15" ht="25.5">
      <c r="A167" s="5" t="s">
        <v>413</v>
      </c>
      <c r="B167" t="str">
        <f>HYPERLINK("https://www.onsemi.com/PowerSolutions/product.do?id=MC74LVX50","MC74LVX50")</f>
        <v>MC74LVX50</v>
      </c>
      <c r="C167" t="str">
        <f>HYPERLINK("https://www.onsemi.com/pub/Collateral/MC74LVX50-D.PDF","MC74LVX50/D (154kB)")</f>
        <v>MC74LVX50/D (154kB)</v>
      </c>
      <c r="D167" t="s">
        <v>214</v>
      </c>
      <c r="E167" s="2" t="s">
        <v>23</v>
      </c>
      <c r="F167" t="s">
        <v>14</v>
      </c>
      <c r="H167" s="2" t="s">
        <v>83</v>
      </c>
      <c r="I167" s="2" t="s">
        <v>117</v>
      </c>
      <c r="J167" s="2" t="s">
        <v>82</v>
      </c>
      <c r="K167" s="2" t="s">
        <v>131</v>
      </c>
      <c r="L167" s="2" t="s">
        <v>260</v>
      </c>
      <c r="M167" s="2"/>
      <c r="N167" s="2" t="s">
        <v>108</v>
      </c>
      <c r="O167" s="2" t="s">
        <v>69</v>
      </c>
    </row>
    <row r="168" spans="1:15" ht="25.5">
      <c r="A168" s="5" t="s">
        <v>413</v>
      </c>
      <c r="B168" t="str">
        <f>HYPERLINK("https://www.onsemi.com/PowerSolutions/product.do?id=MC74LVX541","MC74LVX541")</f>
        <v>MC74LVX541</v>
      </c>
      <c r="C168" t="str">
        <f>HYPERLINK("https://www.onsemi.com/pub/Collateral/MC74LVX541-D.PDF","MC74LVX541/D (111kB)")</f>
        <v>MC74LVX541/D (111kB)</v>
      </c>
      <c r="D168" t="s">
        <v>264</v>
      </c>
      <c r="E168" s="2" t="s">
        <v>23</v>
      </c>
      <c r="F168" t="s">
        <v>14</v>
      </c>
      <c r="H168" s="2" t="s">
        <v>68</v>
      </c>
      <c r="I168" s="2" t="s">
        <v>121</v>
      </c>
      <c r="J168" s="2" t="s">
        <v>82</v>
      </c>
      <c r="K168" s="2" t="s">
        <v>131</v>
      </c>
      <c r="L168" s="2" t="s">
        <v>148</v>
      </c>
      <c r="M168" s="2"/>
      <c r="N168" s="2" t="s">
        <v>108</v>
      </c>
      <c r="O168" s="2" t="s">
        <v>152</v>
      </c>
    </row>
    <row r="169" spans="1:15" ht="38.25">
      <c r="A169" s="5" t="s">
        <v>413</v>
      </c>
      <c r="B169" t="str">
        <f>HYPERLINK("https://www.onsemi.com/PowerSolutions/product.do?id=MC74VHC04","MC74VHC04")</f>
        <v>MC74VHC04</v>
      </c>
      <c r="C169" t="str">
        <f>HYPERLINK("https://www.onsemi.com/pub/Collateral/MC74VHC04-D.PDF","MC74VHC04/D (80kB)")</f>
        <v>MC74VHC04/D (80kB)</v>
      </c>
      <c r="D169" t="s">
        <v>145</v>
      </c>
      <c r="E169" s="2" t="s">
        <v>265</v>
      </c>
      <c r="F169" t="s">
        <v>14</v>
      </c>
      <c r="H169" s="2" t="s">
        <v>83</v>
      </c>
      <c r="I169" s="2" t="s">
        <v>117</v>
      </c>
      <c r="J169" s="2" t="s">
        <v>82</v>
      </c>
      <c r="K169" s="2" t="s">
        <v>89</v>
      </c>
      <c r="L169" s="2" t="s">
        <v>171</v>
      </c>
      <c r="M169" s="2"/>
      <c r="N169" s="2" t="s">
        <v>68</v>
      </c>
      <c r="O169" s="2" t="s">
        <v>69</v>
      </c>
    </row>
    <row r="170" spans="1:15" ht="38.25">
      <c r="A170" s="5" t="s">
        <v>413</v>
      </c>
      <c r="B170" t="str">
        <f>HYPERLINK("https://www.onsemi.com/PowerSolutions/product.do?id=MC74VHC125","MC74VHC125")</f>
        <v>MC74VHC125</v>
      </c>
      <c r="C170" t="str">
        <f>HYPERLINK("https://www.onsemi.com/pub/Collateral/MC74VHC125-D.PDF","MC74VHC125/D (89kB)")</f>
        <v>MC74VHC125/D (89kB)</v>
      </c>
      <c r="D170" t="s">
        <v>259</v>
      </c>
      <c r="E170" s="2" t="s">
        <v>266</v>
      </c>
      <c r="F170" t="s">
        <v>14</v>
      </c>
      <c r="H170" s="2" t="s">
        <v>108</v>
      </c>
      <c r="I170" s="2" t="s">
        <v>121</v>
      </c>
      <c r="J170" s="2" t="s">
        <v>82</v>
      </c>
      <c r="K170" s="2" t="s">
        <v>89</v>
      </c>
      <c r="L170" s="2" t="s">
        <v>118</v>
      </c>
      <c r="M170" s="2"/>
      <c r="N170" s="2" t="s">
        <v>68</v>
      </c>
      <c r="O170" s="2" t="s">
        <v>69</v>
      </c>
    </row>
    <row r="171" spans="1:15" ht="51">
      <c r="A171" s="5" t="s">
        <v>413</v>
      </c>
      <c r="B171" t="str">
        <f>HYPERLINK("https://www.onsemi.com/PowerSolutions/product.do?id=MC74VHC126","MC74VHC126")</f>
        <v>MC74VHC126</v>
      </c>
      <c r="C171" t="str">
        <f>HYPERLINK("https://www.onsemi.com/pub/Collateral/MC74VHC126-D.PDF","MC74VHC126/D (122.0kB)")</f>
        <v>MC74VHC126/D (122.0kB)</v>
      </c>
      <c r="D171" t="s">
        <v>259</v>
      </c>
      <c r="E171" s="2" t="s">
        <v>13</v>
      </c>
      <c r="F171" t="s">
        <v>14</v>
      </c>
      <c r="H171" s="2" t="s">
        <v>108</v>
      </c>
      <c r="I171" s="2" t="s">
        <v>121</v>
      </c>
      <c r="J171" s="2" t="s">
        <v>82</v>
      </c>
      <c r="K171" s="2" t="s">
        <v>89</v>
      </c>
      <c r="L171" s="2" t="s">
        <v>118</v>
      </c>
      <c r="M171" s="2"/>
      <c r="N171" s="2" t="s">
        <v>68</v>
      </c>
      <c r="O171" s="2" t="s">
        <v>69</v>
      </c>
    </row>
    <row r="172" spans="1:15" ht="51">
      <c r="A172" s="5" t="s">
        <v>413</v>
      </c>
      <c r="B172" t="str">
        <f>HYPERLINK("https://www.onsemi.com/PowerSolutions/product.do?id=MC74VHC1G05","MC74VHC1G05")</f>
        <v>MC74VHC1G05</v>
      </c>
      <c r="C172" t="str">
        <f>HYPERLINK("https://www.onsemi.com/pub/Collateral/MC74VHC1G05-D.PDF","MC74VHC1G05/D (200kB)")</f>
        <v>MC74VHC1G05/D (200kB)</v>
      </c>
      <c r="D172" t="s">
        <v>267</v>
      </c>
      <c r="E172" s="2" t="s">
        <v>13</v>
      </c>
      <c r="F172" t="s">
        <v>14</v>
      </c>
      <c r="H172" s="2" t="s">
        <v>116</v>
      </c>
      <c r="I172" s="2" t="s">
        <v>219</v>
      </c>
      <c r="J172" s="2" t="s">
        <v>82</v>
      </c>
      <c r="K172" s="2" t="s">
        <v>89</v>
      </c>
      <c r="L172" s="2" t="s">
        <v>118</v>
      </c>
      <c r="M172" s="2"/>
      <c r="N172" s="2" t="s">
        <v>68</v>
      </c>
      <c r="O172" s="2" t="s">
        <v>233</v>
      </c>
    </row>
    <row r="173" spans="1:15" ht="51">
      <c r="A173" s="5" t="s">
        <v>413</v>
      </c>
      <c r="B173" t="str">
        <f>HYPERLINK("https://www.onsemi.com/PowerSolutions/product.do?id=MC74VHC1G07","MC74VHC1G07")</f>
        <v>MC74VHC1G07</v>
      </c>
      <c r="C173" t="str">
        <f>HYPERLINK("https://www.onsemi.com/pub/Collateral/MC74VHC1G07-D.PDF","MC74VHC1G07/D (201kB)")</f>
        <v>MC74VHC1G07/D (201kB)</v>
      </c>
      <c r="D173" t="s">
        <v>268</v>
      </c>
      <c r="E173" s="2" t="s">
        <v>13</v>
      </c>
      <c r="F173" t="s">
        <v>14</v>
      </c>
      <c r="H173" s="2" t="s">
        <v>116</v>
      </c>
      <c r="I173" s="2" t="s">
        <v>219</v>
      </c>
      <c r="J173" s="2" t="s">
        <v>82</v>
      </c>
      <c r="K173" s="2" t="s">
        <v>89</v>
      </c>
      <c r="L173" s="2" t="s">
        <v>118</v>
      </c>
      <c r="M173" s="2"/>
      <c r="N173" s="2" t="s">
        <v>68</v>
      </c>
      <c r="O173" s="2" t="s">
        <v>233</v>
      </c>
    </row>
    <row r="174" spans="1:15" ht="25.5">
      <c r="A174" s="5" t="s">
        <v>413</v>
      </c>
      <c r="B174" t="str">
        <f>HYPERLINK("https://www.onsemi.com/PowerSolutions/product.do?id=MC74VHC240","MC74VHC240")</f>
        <v>MC74VHC240</v>
      </c>
      <c r="C174" t="str">
        <f>HYPERLINK("https://www.onsemi.com/pub/Collateral/MC74VHC240-D.PDF","MC74VHC240/D (127.0kB)")</f>
        <v>MC74VHC240/D (127.0kB)</v>
      </c>
      <c r="D174" t="s">
        <v>269</v>
      </c>
      <c r="E174" s="2" t="s">
        <v>23</v>
      </c>
      <c r="F174" t="s">
        <v>14</v>
      </c>
      <c r="H174" s="2" t="s">
        <v>68</v>
      </c>
      <c r="I174" s="2" t="s">
        <v>121</v>
      </c>
      <c r="J174" s="2" t="s">
        <v>82</v>
      </c>
      <c r="K174" s="2" t="s">
        <v>89</v>
      </c>
      <c r="L174" s="2" t="s">
        <v>118</v>
      </c>
      <c r="M174" s="2"/>
      <c r="N174" s="2" t="s">
        <v>68</v>
      </c>
      <c r="O174" s="2" t="s">
        <v>152</v>
      </c>
    </row>
    <row r="175" spans="1:15" ht="38.25">
      <c r="A175" s="5" t="s">
        <v>413</v>
      </c>
      <c r="B175" t="str">
        <f>HYPERLINK("https://www.onsemi.com/PowerSolutions/product.do?id=MC74VHC244","MC74VHC244")</f>
        <v>MC74VHC244</v>
      </c>
      <c r="C175" t="str">
        <f>HYPERLINK("https://www.onsemi.com/pub/Collateral/MC74VHC244-D.PDF","MC74VHC244/D (134.0kB)")</f>
        <v>MC74VHC244/D (134.0kB)</v>
      </c>
      <c r="D175" t="s">
        <v>262</v>
      </c>
      <c r="E175" s="2" t="s">
        <v>266</v>
      </c>
      <c r="F175" t="s">
        <v>14</v>
      </c>
      <c r="H175" s="2" t="s">
        <v>68</v>
      </c>
      <c r="I175" s="2" t="s">
        <v>121</v>
      </c>
      <c r="J175" s="2" t="s">
        <v>82</v>
      </c>
      <c r="K175" s="2" t="s">
        <v>89</v>
      </c>
      <c r="L175" s="2" t="s">
        <v>118</v>
      </c>
      <c r="M175" s="2"/>
      <c r="N175" s="2" t="s">
        <v>68</v>
      </c>
      <c r="O175" s="2" t="s">
        <v>152</v>
      </c>
    </row>
    <row r="176" spans="1:15" ht="38.25">
      <c r="A176" s="5" t="s">
        <v>413</v>
      </c>
      <c r="B176" t="str">
        <f>HYPERLINK("https://www.onsemi.com/PowerSolutions/product.do?id=MC74VHC50","MC74VHC50")</f>
        <v>MC74VHC50</v>
      </c>
      <c r="C176" t="str">
        <f>HYPERLINK("https://www.onsemi.com/pub/Collateral/MC74VHC50-D.PDF","MC74VHC50/D (125.0kB)")</f>
        <v>MC74VHC50/D (125.0kB)</v>
      </c>
      <c r="D176" t="s">
        <v>214</v>
      </c>
      <c r="E176" s="2" t="s">
        <v>266</v>
      </c>
      <c r="F176" t="s">
        <v>14</v>
      </c>
      <c r="H176" s="2" t="s">
        <v>83</v>
      </c>
      <c r="I176" s="2" t="s">
        <v>121</v>
      </c>
      <c r="J176" s="2" t="s">
        <v>82</v>
      </c>
      <c r="K176" s="2" t="s">
        <v>89</v>
      </c>
      <c r="L176" s="2" t="s">
        <v>118</v>
      </c>
      <c r="M176" s="2"/>
      <c r="N176" s="2" t="s">
        <v>68</v>
      </c>
      <c r="O176" s="2" t="s">
        <v>69</v>
      </c>
    </row>
    <row r="177" spans="1:15" ht="25.5">
      <c r="A177" s="5" t="s">
        <v>413</v>
      </c>
      <c r="B177" t="str">
        <f>HYPERLINK("https://www.onsemi.com/PowerSolutions/product.do?id=MC74VHC540","MC74VHC540")</f>
        <v>MC74VHC540</v>
      </c>
      <c r="C177" t="str">
        <f>HYPERLINK("https://www.onsemi.com/pub/Collateral/MC74VHC540-D.PDF","MC74VHC540/D (114.0kB)")</f>
        <v>MC74VHC540/D (114.0kB)</v>
      </c>
      <c r="D177" t="s">
        <v>264</v>
      </c>
      <c r="E177" s="2" t="s">
        <v>23</v>
      </c>
      <c r="F177" t="s">
        <v>14</v>
      </c>
      <c r="H177" s="2" t="s">
        <v>68</v>
      </c>
      <c r="I177" s="2" t="s">
        <v>121</v>
      </c>
      <c r="J177" s="2" t="s">
        <v>82</v>
      </c>
      <c r="K177" s="2" t="s">
        <v>89</v>
      </c>
      <c r="L177" s="2" t="s">
        <v>148</v>
      </c>
      <c r="M177" s="2"/>
      <c r="N177" s="2" t="s">
        <v>68</v>
      </c>
      <c r="O177" s="2" t="s">
        <v>152</v>
      </c>
    </row>
    <row r="178" spans="1:15" ht="25.5">
      <c r="A178" s="5" t="s">
        <v>413</v>
      </c>
      <c r="B178" t="str">
        <f>HYPERLINK("https://www.onsemi.com/PowerSolutions/product.do?id=MC74VHC541","MC74VHC541")</f>
        <v>MC74VHC541</v>
      </c>
      <c r="C178" t="str">
        <f>HYPERLINK("https://www.onsemi.com/pub/Collateral/MC74VHC541-D.PDF","MC74VHC541/D (84kB)")</f>
        <v>MC74VHC541/D (84kB)</v>
      </c>
      <c r="D178" t="s">
        <v>264</v>
      </c>
      <c r="E178" s="2" t="s">
        <v>23</v>
      </c>
      <c r="F178" t="s">
        <v>14</v>
      </c>
      <c r="H178" s="2" t="s">
        <v>68</v>
      </c>
      <c r="I178" s="2" t="s">
        <v>121</v>
      </c>
      <c r="J178" s="2" t="s">
        <v>82</v>
      </c>
      <c r="K178" s="2" t="s">
        <v>89</v>
      </c>
      <c r="L178" s="2" t="s">
        <v>148</v>
      </c>
      <c r="M178" s="2"/>
      <c r="N178" s="2" t="s">
        <v>68</v>
      </c>
      <c r="O178" s="2" t="s">
        <v>152</v>
      </c>
    </row>
    <row r="179" spans="1:15" ht="51">
      <c r="A179" s="5" t="s">
        <v>413</v>
      </c>
      <c r="B179" t="str">
        <f>HYPERLINK("https://www.onsemi.com/PowerSolutions/product.do?id=MC74VHCT125A","MC74VHCT125A")</f>
        <v>MC74VHCT125A</v>
      </c>
      <c r="C179" t="str">
        <f>HYPERLINK("https://www.onsemi.com/pub/Collateral/MC74VHCT125A-D.PDF","MC74VHCT125A/D (133kB)")</f>
        <v>MC74VHCT125A/D (133kB)</v>
      </c>
      <c r="D179" t="s">
        <v>270</v>
      </c>
      <c r="E179" s="2" t="s">
        <v>13</v>
      </c>
      <c r="F179" t="s">
        <v>14</v>
      </c>
      <c r="H179" s="2" t="s">
        <v>108</v>
      </c>
      <c r="I179" s="2" t="s">
        <v>121</v>
      </c>
      <c r="J179" s="2" t="s">
        <v>71</v>
      </c>
      <c r="K179" s="2" t="s">
        <v>89</v>
      </c>
      <c r="L179" s="2" t="s">
        <v>118</v>
      </c>
      <c r="M179" s="2"/>
      <c r="N179" s="2" t="s">
        <v>68</v>
      </c>
      <c r="O179" s="2" t="s">
        <v>69</v>
      </c>
    </row>
    <row r="180" spans="1:15" ht="38.25">
      <c r="A180" s="5" t="s">
        <v>413</v>
      </c>
      <c r="B180" t="str">
        <f>HYPERLINK("https://www.onsemi.com/PowerSolutions/product.do?id=MC74VHCT126A","MC74VHCT126A")</f>
        <v>MC74VHCT126A</v>
      </c>
      <c r="C180" t="str">
        <f>HYPERLINK("https://www.onsemi.com/pub/Collateral/MC74VHCT126A-D.PDF","MC74VHCT126A/D (92kB)")</f>
        <v>MC74VHCT126A/D (92kB)</v>
      </c>
      <c r="D180" t="s">
        <v>270</v>
      </c>
      <c r="E180" s="2" t="s">
        <v>266</v>
      </c>
      <c r="F180" t="s">
        <v>14</v>
      </c>
      <c r="H180" s="2" t="s">
        <v>108</v>
      </c>
      <c r="I180" s="2" t="s">
        <v>121</v>
      </c>
      <c r="J180" s="2" t="s">
        <v>71</v>
      </c>
      <c r="K180" s="2" t="s">
        <v>89</v>
      </c>
      <c r="L180" s="2" t="s">
        <v>118</v>
      </c>
      <c r="M180" s="2"/>
      <c r="N180" s="2" t="s">
        <v>68</v>
      </c>
      <c r="O180" s="2" t="s">
        <v>69</v>
      </c>
    </row>
    <row r="181" spans="1:15" ht="25.5">
      <c r="A181" s="5" t="s">
        <v>413</v>
      </c>
      <c r="B181" t="str">
        <f>HYPERLINK("https://www.onsemi.com/PowerSolutions/product.do?id=MC74VHCT240A","MC74VHCT240A")</f>
        <v>MC74VHCT240A</v>
      </c>
      <c r="C181" t="str">
        <f>HYPERLINK("https://www.onsemi.com/pub/Collateral/MC74VHCT240A-D.PDF","MC74VHCT240A/D (93kB)")</f>
        <v>MC74VHCT240A/D (93kB)</v>
      </c>
      <c r="D181" t="s">
        <v>271</v>
      </c>
      <c r="E181" s="2" t="s">
        <v>23</v>
      </c>
      <c r="F181" t="s">
        <v>14</v>
      </c>
      <c r="H181" s="2" t="s">
        <v>68</v>
      </c>
      <c r="I181" s="2" t="s">
        <v>121</v>
      </c>
      <c r="J181" s="2" t="s">
        <v>71</v>
      </c>
      <c r="K181" s="2" t="s">
        <v>89</v>
      </c>
      <c r="L181" s="2" t="s">
        <v>272</v>
      </c>
      <c r="M181" s="2"/>
      <c r="N181" s="2" t="s">
        <v>68</v>
      </c>
      <c r="O181" s="2" t="s">
        <v>152</v>
      </c>
    </row>
    <row r="182" spans="1:15" ht="51">
      <c r="A182" s="5" t="s">
        <v>413</v>
      </c>
      <c r="B182" t="str">
        <f>HYPERLINK("https://www.onsemi.com/PowerSolutions/product.do?id=MC74VHCT244A","MC74VHCT244A")</f>
        <v>MC74VHCT244A</v>
      </c>
      <c r="C182" t="str">
        <f>HYPERLINK("https://www.onsemi.com/pub/Collateral/MC74VHCT244A-D.PDF","MC74VHCT244A/D (95kB)")</f>
        <v>MC74VHCT244A/D (95kB)</v>
      </c>
      <c r="D182" t="s">
        <v>273</v>
      </c>
      <c r="E182" s="2" t="s">
        <v>13</v>
      </c>
      <c r="F182" t="s">
        <v>14</v>
      </c>
      <c r="H182" s="2" t="s">
        <v>68</v>
      </c>
      <c r="I182" s="2" t="s">
        <v>121</v>
      </c>
      <c r="J182" s="2" t="s">
        <v>71</v>
      </c>
      <c r="K182" s="2" t="s">
        <v>89</v>
      </c>
      <c r="L182" s="2" t="s">
        <v>274</v>
      </c>
      <c r="M182" s="2"/>
      <c r="N182" s="2" t="s">
        <v>68</v>
      </c>
      <c r="O182" s="2" t="s">
        <v>152</v>
      </c>
    </row>
    <row r="183" spans="1:15" ht="25.5">
      <c r="A183" s="5" t="s">
        <v>413</v>
      </c>
      <c r="B183" t="str">
        <f>HYPERLINK("https://www.onsemi.com/PowerSolutions/product.do?id=MC74VHCT257A","MC74VHCT257A")</f>
        <v>MC74VHCT257A</v>
      </c>
      <c r="C183" t="str">
        <f>HYPERLINK("https://www.onsemi.com/pub/Collateral/MC74VHCT257A-D.PDF","MC74VHCT257A/D (96kB)")</f>
        <v>MC74VHCT257A/D (96kB)</v>
      </c>
      <c r="D183" t="s">
        <v>275</v>
      </c>
      <c r="E183" s="2" t="s">
        <v>23</v>
      </c>
      <c r="F183" t="s">
        <v>14</v>
      </c>
      <c r="H183" s="2" t="s">
        <v>108</v>
      </c>
      <c r="I183" s="2" t="s">
        <v>121</v>
      </c>
      <c r="J183" s="2" t="s">
        <v>71</v>
      </c>
      <c r="K183" s="2" t="s">
        <v>89</v>
      </c>
      <c r="L183" s="2" t="s">
        <v>276</v>
      </c>
      <c r="M183" s="2"/>
      <c r="N183" s="2" t="s">
        <v>68</v>
      </c>
      <c r="O183" s="2" t="s">
        <v>42</v>
      </c>
    </row>
    <row r="184" spans="1:15" ht="38.25">
      <c r="A184" s="5" t="s">
        <v>413</v>
      </c>
      <c r="B184" t="str">
        <f>HYPERLINK("https://www.onsemi.com/PowerSolutions/product.do?id=MC74VHCT50A","MC74VHCT50A")</f>
        <v>MC74VHCT50A</v>
      </c>
      <c r="C184" t="str">
        <f>HYPERLINK("https://www.onsemi.com/pub/Collateral/MC74VHCT50A-D.PDF","MC74VHCT50A/D (126kB)")</f>
        <v>MC74VHCT50A/D (126kB)</v>
      </c>
      <c r="D184" t="s">
        <v>277</v>
      </c>
      <c r="E184" s="2" t="s">
        <v>266</v>
      </c>
      <c r="F184" t="s">
        <v>14</v>
      </c>
      <c r="H184" s="2" t="s">
        <v>83</v>
      </c>
      <c r="I184" s="2" t="s">
        <v>117</v>
      </c>
      <c r="J184" s="2" t="s">
        <v>71</v>
      </c>
      <c r="K184" s="2" t="s">
        <v>89</v>
      </c>
      <c r="L184" s="2" t="s">
        <v>278</v>
      </c>
      <c r="M184" s="2"/>
      <c r="N184" s="2" t="s">
        <v>68</v>
      </c>
      <c r="O184" s="2" t="s">
        <v>69</v>
      </c>
    </row>
    <row r="185" spans="1:15" ht="51">
      <c r="A185" s="5" t="s">
        <v>413</v>
      </c>
      <c r="B185" t="str">
        <f>HYPERLINK("https://www.onsemi.com/PowerSolutions/product.do?id=MC74VHCT541A","MC74VHCT541A")</f>
        <v>MC74VHCT541A</v>
      </c>
      <c r="C185" t="str">
        <f>HYPERLINK("https://www.onsemi.com/pub/Collateral/MC74VHCT541A-D.PDF","MC74VHCT541A/D (105kB)")</f>
        <v>MC74VHCT541A/D (105kB)</v>
      </c>
      <c r="D185" t="s">
        <v>279</v>
      </c>
      <c r="E185" s="2" t="s">
        <v>13</v>
      </c>
      <c r="F185" t="s">
        <v>14</v>
      </c>
      <c r="H185" s="2" t="s">
        <v>68</v>
      </c>
      <c r="I185" s="2" t="s">
        <v>121</v>
      </c>
      <c r="J185" s="2" t="s">
        <v>71</v>
      </c>
      <c r="K185" s="2" t="s">
        <v>89</v>
      </c>
      <c r="L185" s="2" t="s">
        <v>276</v>
      </c>
      <c r="M185" s="2"/>
      <c r="N185" s="2" t="s">
        <v>68</v>
      </c>
      <c r="O185" s="2" t="s">
        <v>152</v>
      </c>
    </row>
    <row r="186" spans="1:15" ht="51">
      <c r="A186" s="5" t="s">
        <v>413</v>
      </c>
      <c r="B186" t="str">
        <f>HYPERLINK("https://www.onsemi.com/PowerSolutions/product.do?id=MM74HC04","MM74HC04")</f>
        <v>MM74HC04</v>
      </c>
      <c r="C186" t="str">
        <f>HYPERLINK("https://www.onsemi.com/pub/Collateral/MM74HC04-D.PDF","MM74HC04/D (230kB)")</f>
        <v>MM74HC04/D (230kB)</v>
      </c>
      <c r="D186" t="s">
        <v>145</v>
      </c>
      <c r="E186" s="2" t="s">
        <v>23</v>
      </c>
      <c r="F186" t="s">
        <v>14</v>
      </c>
      <c r="H186" s="2" t="s">
        <v>83</v>
      </c>
      <c r="I186" s="2" t="s">
        <v>117</v>
      </c>
      <c r="J186" s="2" t="s">
        <v>82</v>
      </c>
      <c r="K186" s="2" t="s">
        <v>83</v>
      </c>
      <c r="L186" s="2" t="s">
        <v>47</v>
      </c>
      <c r="M186" s="2"/>
      <c r="N186" s="2" t="s">
        <v>97</v>
      </c>
      <c r="O186" s="2" t="s">
        <v>280</v>
      </c>
    </row>
    <row r="187" spans="1:15" ht="38.25">
      <c r="A187" s="5" t="s">
        <v>413</v>
      </c>
      <c r="B187" t="str">
        <f>HYPERLINK("https://www.onsemi.com/PowerSolutions/product.do?id=MM74HC125","MM74HC125")</f>
        <v>MM74HC125</v>
      </c>
      <c r="C187" t="str">
        <f>HYPERLINK("https://www.onsemi.com/pub/Collateral/MM74HC126-D.pdf","MM74HC126/D (389kB)")</f>
        <v>MM74HC126/D (389kB)</v>
      </c>
      <c r="D187" t="s">
        <v>281</v>
      </c>
      <c r="E187" s="2" t="s">
        <v>23</v>
      </c>
      <c r="F187" t="s">
        <v>14</v>
      </c>
      <c r="H187" s="2" t="s">
        <v>83</v>
      </c>
      <c r="I187" s="2" t="s">
        <v>121</v>
      </c>
      <c r="J187" s="2" t="s">
        <v>82</v>
      </c>
      <c r="K187" s="2" t="s">
        <v>83</v>
      </c>
      <c r="L187" s="2" t="s">
        <v>282</v>
      </c>
      <c r="M187" s="2"/>
      <c r="N187" s="2" t="s">
        <v>237</v>
      </c>
      <c r="O187" s="2" t="s">
        <v>283</v>
      </c>
    </row>
    <row r="188" spans="1:15" ht="25.5">
      <c r="A188" s="5" t="s">
        <v>413</v>
      </c>
      <c r="B188" t="str">
        <f>HYPERLINK("https://www.onsemi.com/PowerSolutions/product.do?id=MM74HC126","MM74HC126")</f>
        <v>MM74HC126</v>
      </c>
      <c r="C188" t="str">
        <f>HYPERLINK("https://www.onsemi.com/pub/Collateral/MM74HC126-D.pdf","MM74HC126/D (389kB)")</f>
        <v>MM74HC126/D (389kB)</v>
      </c>
      <c r="D188" t="s">
        <v>281</v>
      </c>
      <c r="E188" s="2" t="s">
        <v>23</v>
      </c>
      <c r="F188" t="s">
        <v>14</v>
      </c>
      <c r="H188" s="2" t="s">
        <v>83</v>
      </c>
      <c r="I188" s="2" t="s">
        <v>121</v>
      </c>
      <c r="J188" s="2" t="s">
        <v>82</v>
      </c>
      <c r="K188" s="2" t="s">
        <v>83</v>
      </c>
      <c r="L188" s="2" t="s">
        <v>282</v>
      </c>
      <c r="M188" s="2"/>
      <c r="N188" s="2" t="s">
        <v>237</v>
      </c>
      <c r="O188" s="2" t="s">
        <v>69</v>
      </c>
    </row>
    <row r="189" spans="1:15" ht="38.25">
      <c r="A189" s="5" t="s">
        <v>413</v>
      </c>
      <c r="B189" t="str">
        <f>HYPERLINK("https://www.onsemi.com/PowerSolutions/product.do?id=MM74HC240","MM74HC240")</f>
        <v>MM74HC240</v>
      </c>
      <c r="C189" t="str">
        <f>HYPERLINK("https://www.onsemi.com/pub/Collateral/MM74HC240-D.pdf","MM74HC240/D (220kB)")</f>
        <v>MM74HC240/D (220kB)</v>
      </c>
      <c r="D189" t="s">
        <v>284</v>
      </c>
      <c r="E189" s="2" t="s">
        <v>23</v>
      </c>
      <c r="F189" t="s">
        <v>14</v>
      </c>
      <c r="H189" s="2" t="s">
        <v>68</v>
      </c>
      <c r="I189" s="2" t="s">
        <v>121</v>
      </c>
      <c r="J189" s="2" t="s">
        <v>82</v>
      </c>
      <c r="K189" s="2" t="s">
        <v>83</v>
      </c>
      <c r="L189" s="2" t="s">
        <v>91</v>
      </c>
      <c r="M189" s="2"/>
      <c r="N189" s="2" t="s">
        <v>237</v>
      </c>
      <c r="O189" s="2" t="s">
        <v>178</v>
      </c>
    </row>
    <row r="190" spans="1:15" ht="38.25">
      <c r="A190" s="5" t="s">
        <v>413</v>
      </c>
      <c r="B190" t="str">
        <f>HYPERLINK("https://www.onsemi.com/PowerSolutions/product.do?id=MM74HC244","MM74HC244")</f>
        <v>MM74HC244</v>
      </c>
      <c r="C190" t="str">
        <f>HYPERLINK("https://www.onsemi.com/pub/Collateral/MM74HC244-D.pdf","MM74HC244/D (223kB)")</f>
        <v>MM74HC244/D (223kB)</v>
      </c>
      <c r="D190" t="s">
        <v>285</v>
      </c>
      <c r="E190" s="2" t="s">
        <v>23</v>
      </c>
      <c r="F190" t="s">
        <v>14</v>
      </c>
      <c r="H190" s="2" t="s">
        <v>68</v>
      </c>
      <c r="I190" s="2" t="s">
        <v>121</v>
      </c>
      <c r="J190" s="2" t="s">
        <v>82</v>
      </c>
      <c r="K190" s="2" t="s">
        <v>83</v>
      </c>
      <c r="L190" s="2" t="s">
        <v>286</v>
      </c>
      <c r="M190" s="2"/>
      <c r="N190" s="2" t="s">
        <v>237</v>
      </c>
      <c r="O190" s="2" t="s">
        <v>178</v>
      </c>
    </row>
    <row r="191" spans="1:15" ht="25.5">
      <c r="A191" s="5" t="s">
        <v>413</v>
      </c>
      <c r="B191" t="str">
        <f>HYPERLINK("https://www.onsemi.com/PowerSolutions/product.do?id=MM74HC540","MM74HC540")</f>
        <v>MM74HC540</v>
      </c>
      <c r="C191" t="str">
        <f>HYPERLINK("https://www.onsemi.com/pub/Collateral/MM74HC541-D.pdf","MM74HC541/D (219kB)")</f>
        <v>MM74HC541/D (219kB)</v>
      </c>
      <c r="D191" t="s">
        <v>287</v>
      </c>
      <c r="E191" s="2" t="s">
        <v>23</v>
      </c>
      <c r="F191" t="s">
        <v>14</v>
      </c>
      <c r="H191" s="2" t="s">
        <v>68</v>
      </c>
      <c r="I191" s="2" t="s">
        <v>121</v>
      </c>
      <c r="J191" s="2" t="s">
        <v>82</v>
      </c>
      <c r="K191" s="2" t="s">
        <v>83</v>
      </c>
      <c r="L191" s="2" t="s">
        <v>91</v>
      </c>
      <c r="M191" s="2"/>
      <c r="N191" s="2" t="s">
        <v>237</v>
      </c>
      <c r="O191" s="2" t="s">
        <v>152</v>
      </c>
    </row>
    <row r="192" spans="1:15" ht="38.25">
      <c r="A192" s="5" t="s">
        <v>413</v>
      </c>
      <c r="B192" t="str">
        <f>HYPERLINK("https://www.onsemi.com/PowerSolutions/product.do?id=MM74HC541","MM74HC541")</f>
        <v>MM74HC541</v>
      </c>
      <c r="C192" t="str">
        <f>HYPERLINK("https://www.onsemi.com/pub/Collateral/MM74HC541-D.pdf","MM74HC541/D (219kB)")</f>
        <v>MM74HC541/D (219kB)</v>
      </c>
      <c r="D192" t="s">
        <v>288</v>
      </c>
      <c r="E192" s="2" t="s">
        <v>23</v>
      </c>
      <c r="F192" t="s">
        <v>14</v>
      </c>
      <c r="H192" s="2" t="s">
        <v>68</v>
      </c>
      <c r="I192" s="2" t="s">
        <v>121</v>
      </c>
      <c r="J192" s="2" t="s">
        <v>82</v>
      </c>
      <c r="K192" s="2" t="s">
        <v>83</v>
      </c>
      <c r="L192" s="2" t="s">
        <v>91</v>
      </c>
      <c r="M192" s="2"/>
      <c r="N192" s="2" t="s">
        <v>237</v>
      </c>
      <c r="O192" s="2" t="s">
        <v>178</v>
      </c>
    </row>
    <row r="193" spans="1:15" ht="51">
      <c r="A193" s="5" t="s">
        <v>413</v>
      </c>
      <c r="B193" t="str">
        <f>HYPERLINK("https://www.onsemi.com/PowerSolutions/product.do?id=MM74HCT04","MM74HCT04")</f>
        <v>MM74HCT04</v>
      </c>
      <c r="C193" t="str">
        <f>HYPERLINK("https://www.onsemi.com/pub/Collateral/MM74HCT04-D.pdf","MM74HCT04/D (456kB)")</f>
        <v>MM74HCT04/D (456kB)</v>
      </c>
      <c r="D193" t="s">
        <v>145</v>
      </c>
      <c r="E193" s="2" t="s">
        <v>23</v>
      </c>
      <c r="F193" t="s">
        <v>14</v>
      </c>
      <c r="H193" s="2" t="s">
        <v>83</v>
      </c>
      <c r="I193" s="2" t="s">
        <v>117</v>
      </c>
      <c r="J193" s="2" t="s">
        <v>71</v>
      </c>
      <c r="K193" s="2" t="s">
        <v>89</v>
      </c>
      <c r="L193" s="2" t="s">
        <v>286</v>
      </c>
      <c r="M193" s="2"/>
      <c r="N193" s="2" t="s">
        <v>289</v>
      </c>
      <c r="O193" s="2" t="s">
        <v>280</v>
      </c>
    </row>
    <row r="194" spans="1:15" ht="38.25">
      <c r="A194" s="5" t="s">
        <v>413</v>
      </c>
      <c r="B194" t="str">
        <f>HYPERLINK("https://www.onsemi.com/PowerSolutions/product.do?id=MM74HCT05","MM74HCT05")</f>
        <v>MM74HCT05</v>
      </c>
      <c r="C194" t="str">
        <f>HYPERLINK("https://www.onsemi.com/pub/Collateral/MM74HCT05-D.pdf","MM74HCT05/D (471kB)")</f>
        <v>MM74HCT05/D (471kB)</v>
      </c>
      <c r="D194" t="s">
        <v>290</v>
      </c>
      <c r="E194" s="2" t="s">
        <v>23</v>
      </c>
      <c r="F194" t="s">
        <v>14</v>
      </c>
      <c r="H194" s="2" t="s">
        <v>83</v>
      </c>
      <c r="I194" s="2" t="s">
        <v>117</v>
      </c>
      <c r="J194" s="2" t="s">
        <v>71</v>
      </c>
      <c r="K194" s="2" t="s">
        <v>89</v>
      </c>
      <c r="L194" s="2" t="s">
        <v>171</v>
      </c>
      <c r="M194" s="2"/>
      <c r="N194" s="2" t="s">
        <v>289</v>
      </c>
      <c r="O194" s="2" t="s">
        <v>197</v>
      </c>
    </row>
    <row r="195" spans="1:15" ht="25.5">
      <c r="A195" s="5" t="s">
        <v>413</v>
      </c>
      <c r="B195" t="str">
        <f>HYPERLINK("https://www.onsemi.com/PowerSolutions/product.do?id=MM74HCT240","MM74HCT240")</f>
        <v>MM74HCT240</v>
      </c>
      <c r="C195" t="str">
        <f>HYPERLINK("https://www.onsemi.com/pub/Collateral/MM74HCT244-D.pdf","MM74HCT244/D (227kB)")</f>
        <v>MM74HCT244/D (227kB)</v>
      </c>
      <c r="D195" t="s">
        <v>284</v>
      </c>
      <c r="E195" s="2" t="s">
        <v>23</v>
      </c>
      <c r="F195" t="s">
        <v>14</v>
      </c>
      <c r="H195" s="2" t="s">
        <v>68</v>
      </c>
      <c r="I195" s="2" t="s">
        <v>121</v>
      </c>
      <c r="J195" s="2" t="s">
        <v>71</v>
      </c>
      <c r="K195" s="2" t="s">
        <v>89</v>
      </c>
      <c r="L195" s="2" t="s">
        <v>286</v>
      </c>
      <c r="M195" s="2"/>
      <c r="N195" s="2" t="s">
        <v>200</v>
      </c>
      <c r="O195" s="2" t="s">
        <v>152</v>
      </c>
    </row>
    <row r="196" spans="1:15" ht="38.25">
      <c r="A196" s="5" t="s">
        <v>413</v>
      </c>
      <c r="B196" t="str">
        <f>HYPERLINK("https://www.onsemi.com/PowerSolutions/product.do?id=MM74HCT244","MM74HCT244")</f>
        <v>MM74HCT244</v>
      </c>
      <c r="C196" t="str">
        <f>HYPERLINK("https://www.onsemi.com/pub/Collateral/MM74HCT244-D.pdf","MM74HCT244/D (227kB)")</f>
        <v>MM74HCT244/D (227kB)</v>
      </c>
      <c r="D196" t="s">
        <v>285</v>
      </c>
      <c r="E196" s="2" t="s">
        <v>23</v>
      </c>
      <c r="F196" t="s">
        <v>14</v>
      </c>
      <c r="H196" s="2" t="s">
        <v>68</v>
      </c>
      <c r="I196" s="2" t="s">
        <v>121</v>
      </c>
      <c r="J196" s="2" t="s">
        <v>71</v>
      </c>
      <c r="K196" s="2" t="s">
        <v>89</v>
      </c>
      <c r="L196" s="2" t="s">
        <v>286</v>
      </c>
      <c r="M196" s="2"/>
      <c r="N196" s="2" t="s">
        <v>200</v>
      </c>
      <c r="O196" s="2" t="s">
        <v>178</v>
      </c>
    </row>
    <row r="197" spans="1:15" ht="25.5">
      <c r="A197" s="5" t="s">
        <v>413</v>
      </c>
      <c r="B197" t="str">
        <f>HYPERLINK("https://www.onsemi.com/PowerSolutions/product.do?id=MM74HCT540","MM74HCT540")</f>
        <v>MM74HCT540</v>
      </c>
      <c r="C197" t="str">
        <f>HYPERLINK("https://www.onsemi.com/pub/Collateral/MM74HCT541-D.pdf","MM74HCT541/D (395kB)")</f>
        <v>MM74HCT541/D (395kB)</v>
      </c>
      <c r="D197" t="s">
        <v>284</v>
      </c>
      <c r="E197" s="2" t="s">
        <v>23</v>
      </c>
      <c r="F197" t="s">
        <v>14</v>
      </c>
      <c r="H197" s="2" t="s">
        <v>68</v>
      </c>
      <c r="I197" s="2" t="s">
        <v>121</v>
      </c>
      <c r="J197" s="2" t="s">
        <v>71</v>
      </c>
      <c r="K197" s="2" t="s">
        <v>89</v>
      </c>
      <c r="L197" s="2" t="s">
        <v>171</v>
      </c>
      <c r="M197" s="2"/>
      <c r="N197" s="2" t="s">
        <v>200</v>
      </c>
      <c r="O197" s="2" t="s">
        <v>152</v>
      </c>
    </row>
    <row r="198" spans="1:15" ht="25.5">
      <c r="A198" s="5" t="s">
        <v>413</v>
      </c>
      <c r="B198" t="str">
        <f>HYPERLINK("https://www.onsemi.com/PowerSolutions/product.do?id=MM74HCT541","MM74HCT541")</f>
        <v>MM74HCT541</v>
      </c>
      <c r="C198" t="str">
        <f>HYPERLINK("https://www.onsemi.com/pub/Collateral/MM74HCT541-D.pdf","MM74HCT541/D (395kB)")</f>
        <v>MM74HCT541/D (395kB)</v>
      </c>
      <c r="D198" t="s">
        <v>285</v>
      </c>
      <c r="E198" s="2" t="s">
        <v>23</v>
      </c>
      <c r="F198" t="s">
        <v>14</v>
      </c>
      <c r="H198" s="2" t="s">
        <v>68</v>
      </c>
      <c r="I198" s="2" t="s">
        <v>121</v>
      </c>
      <c r="J198" s="2" t="s">
        <v>71</v>
      </c>
      <c r="K198" s="2" t="s">
        <v>89</v>
      </c>
      <c r="L198" s="2" t="s">
        <v>286</v>
      </c>
      <c r="M198" s="2"/>
      <c r="N198" s="2" t="s">
        <v>200</v>
      </c>
      <c r="O198" s="2" t="s">
        <v>152</v>
      </c>
    </row>
    <row r="199" spans="1:15" ht="38.25">
      <c r="A199" s="5" t="s">
        <v>413</v>
      </c>
      <c r="B199" t="str">
        <f>HYPERLINK("https://www.onsemi.com/PowerSolutions/product.do?id=MM74HCU04","MM74HCU04")</f>
        <v>MM74HCU04</v>
      </c>
      <c r="C199" t="str">
        <f>HYPERLINK("https://www.onsemi.com/pub/Collateral/MM74HCU04-D.pdf","MM74HCU04/D (423kB)")</f>
        <v>MM74HCU04/D (423kB)</v>
      </c>
      <c r="D199" t="s">
        <v>145</v>
      </c>
      <c r="E199" s="2" t="s">
        <v>23</v>
      </c>
      <c r="F199" t="s">
        <v>14</v>
      </c>
      <c r="H199" s="2" t="s">
        <v>83</v>
      </c>
      <c r="I199" s="2" t="s">
        <v>117</v>
      </c>
      <c r="J199" s="2" t="s">
        <v>82</v>
      </c>
      <c r="K199" s="2" t="s">
        <v>83</v>
      </c>
      <c r="L199" s="2" t="s">
        <v>274</v>
      </c>
      <c r="M199" s="2"/>
      <c r="N199" s="2" t="s">
        <v>237</v>
      </c>
      <c r="O199" s="2" t="s">
        <v>283</v>
      </c>
    </row>
    <row r="200" spans="1:15" ht="25.5">
      <c r="A200" s="5" t="s">
        <v>413</v>
      </c>
      <c r="B200" t="str">
        <f>HYPERLINK("https://www.onsemi.com/PowerSolutions/product.do?id=NC7NP14","NC7NP14")</f>
        <v>NC7NP14</v>
      </c>
      <c r="C200" t="str">
        <f>HYPERLINK("https://www.onsemi.com/pub/Collateral/NC7NP14-D.pdf","NC7NP14/D (841kB)")</f>
        <v>NC7NP14/D (841kB)</v>
      </c>
      <c r="D200" t="s">
        <v>291</v>
      </c>
      <c r="E200" s="2" t="s">
        <v>23</v>
      </c>
      <c r="F200" t="s">
        <v>14</v>
      </c>
      <c r="H200" s="2" t="s">
        <v>16</v>
      </c>
      <c r="I200" s="2" t="s">
        <v>117</v>
      </c>
      <c r="J200" s="2" t="s">
        <v>130</v>
      </c>
      <c r="K200" s="2" t="s">
        <v>131</v>
      </c>
      <c r="L200" s="2" t="s">
        <v>151</v>
      </c>
      <c r="M200" s="2"/>
      <c r="N200" s="2" t="s">
        <v>133</v>
      </c>
      <c r="O200" s="2" t="s">
        <v>292</v>
      </c>
    </row>
    <row r="201" spans="1:15" ht="25.5">
      <c r="A201" s="5" t="s">
        <v>413</v>
      </c>
      <c r="B201" t="str">
        <f>HYPERLINK("https://www.onsemi.com/PowerSolutions/product.do?id=NC7NP34","NC7NP34")</f>
        <v>NC7NP34</v>
      </c>
      <c r="C201" t="str">
        <f>HYPERLINK("https://www.onsemi.com/pub/Collateral/NC7NP34-D.pdf","NC7NP34/D (338kB)")</f>
        <v>NC7NP34/D (338kB)</v>
      </c>
      <c r="D201" t="s">
        <v>293</v>
      </c>
      <c r="E201" s="2" t="s">
        <v>23</v>
      </c>
      <c r="F201" t="s">
        <v>14</v>
      </c>
      <c r="H201" s="2" t="s">
        <v>16</v>
      </c>
      <c r="I201" s="2" t="s">
        <v>117</v>
      </c>
      <c r="J201" s="2" t="s">
        <v>130</v>
      </c>
      <c r="K201" s="2" t="s">
        <v>131</v>
      </c>
      <c r="L201" s="2" t="s">
        <v>151</v>
      </c>
      <c r="M201" s="2"/>
      <c r="N201" s="2" t="s">
        <v>133</v>
      </c>
      <c r="O201" s="2" t="s">
        <v>292</v>
      </c>
    </row>
    <row r="202" spans="1:15" ht="25.5">
      <c r="A202" s="5" t="s">
        <v>413</v>
      </c>
      <c r="B202" t="str">
        <f>HYPERLINK("https://www.onsemi.com/PowerSolutions/product.do?id=NC7NZ04","NC7NZ04")</f>
        <v>NC7NZ04</v>
      </c>
      <c r="C202" t="str">
        <f>HYPERLINK("https://www.onsemi.com/pub/Collateral/NC7NZ04-D.PDF","NC7NZ04/D (118kB)")</f>
        <v>NC7NZ04/D (118kB)</v>
      </c>
      <c r="D202" t="s">
        <v>294</v>
      </c>
      <c r="E202" s="2" t="s">
        <v>23</v>
      </c>
      <c r="F202" t="s">
        <v>14</v>
      </c>
      <c r="H202" s="2" t="s">
        <v>16</v>
      </c>
      <c r="I202" s="2" t="s">
        <v>117</v>
      </c>
      <c r="J202" s="2" t="s">
        <v>127</v>
      </c>
      <c r="K202" s="2" t="s">
        <v>89</v>
      </c>
      <c r="L202" s="2" t="s">
        <v>142</v>
      </c>
      <c r="M202" s="2"/>
      <c r="N202" s="2" t="s">
        <v>143</v>
      </c>
      <c r="O202" s="2" t="s">
        <v>292</v>
      </c>
    </row>
    <row r="203" spans="1:15" ht="25.5">
      <c r="A203" s="5" t="s">
        <v>413</v>
      </c>
      <c r="B203" t="str">
        <f>HYPERLINK("https://www.onsemi.com/PowerSolutions/product.do?id=NC7NZ14","NC7NZ14")</f>
        <v>NC7NZ14</v>
      </c>
      <c r="C203" t="str">
        <f>HYPERLINK("https://www.onsemi.com/pub/Collateral/NC7NZ14-D.PDF","NC7NZ14/D (183kB)")</f>
        <v>NC7NZ14/D (183kB)</v>
      </c>
      <c r="D203" t="s">
        <v>295</v>
      </c>
      <c r="E203" s="2" t="s">
        <v>23</v>
      </c>
      <c r="F203" t="s">
        <v>14</v>
      </c>
      <c r="H203" s="2" t="s">
        <v>16</v>
      </c>
      <c r="I203" s="2" t="s">
        <v>117</v>
      </c>
      <c r="J203" s="2" t="s">
        <v>127</v>
      </c>
      <c r="K203" s="2" t="s">
        <v>89</v>
      </c>
      <c r="L203" s="2" t="s">
        <v>159</v>
      </c>
      <c r="M203" s="2"/>
      <c r="N203" s="2" t="s">
        <v>143</v>
      </c>
      <c r="O203" s="2" t="s">
        <v>292</v>
      </c>
    </row>
    <row r="204" spans="1:15" ht="25.5">
      <c r="A204" s="5" t="s">
        <v>413</v>
      </c>
      <c r="B204" t="str">
        <f>HYPERLINK("https://www.onsemi.com/PowerSolutions/product.do?id=NC7NZ17","NC7NZ17")</f>
        <v>NC7NZ17</v>
      </c>
      <c r="C204" t="str">
        <f>HYPERLINK("https://www.onsemi.com/pub/Collateral/NC7NZ17-D.PDF","NC7NZ17/D (182kB)")</f>
        <v>NC7NZ17/D (182kB)</v>
      </c>
      <c r="D204" t="s">
        <v>296</v>
      </c>
      <c r="E204" s="2" t="s">
        <v>23</v>
      </c>
      <c r="F204" t="s">
        <v>14</v>
      </c>
      <c r="H204" s="2" t="s">
        <v>16</v>
      </c>
      <c r="I204" s="2" t="s">
        <v>117</v>
      </c>
      <c r="J204" s="2" t="s">
        <v>127</v>
      </c>
      <c r="K204" s="2" t="s">
        <v>89</v>
      </c>
      <c r="L204" s="2" t="s">
        <v>131</v>
      </c>
      <c r="M204" s="2"/>
      <c r="N204" s="2" t="s">
        <v>143</v>
      </c>
      <c r="O204" s="2" t="s">
        <v>292</v>
      </c>
    </row>
    <row r="205" spans="1:15" ht="25.5">
      <c r="A205" s="5" t="s">
        <v>413</v>
      </c>
      <c r="B205" t="str">
        <f>HYPERLINK("https://www.onsemi.com/PowerSolutions/product.do?id=NC7NZ34","NC7NZ34")</f>
        <v>NC7NZ34</v>
      </c>
      <c r="C205" t="str">
        <f>HYPERLINK("https://www.onsemi.com/pub/Collateral/NC7NZ34-D.PDF","NC7NZ34/D (181kB)")</f>
        <v>NC7NZ34/D (181kB)</v>
      </c>
      <c r="D205" t="s">
        <v>297</v>
      </c>
      <c r="E205" s="2" t="s">
        <v>23</v>
      </c>
      <c r="F205" t="s">
        <v>14</v>
      </c>
      <c r="H205" s="2" t="s">
        <v>16</v>
      </c>
      <c r="I205" s="2" t="s">
        <v>117</v>
      </c>
      <c r="J205" s="2" t="s">
        <v>127</v>
      </c>
      <c r="K205" s="2" t="s">
        <v>89</v>
      </c>
      <c r="L205" s="2" t="s">
        <v>142</v>
      </c>
      <c r="M205" s="2"/>
      <c r="N205" s="2" t="s">
        <v>143</v>
      </c>
      <c r="O205" s="2" t="s">
        <v>292</v>
      </c>
    </row>
    <row r="206" spans="1:15" ht="38.25">
      <c r="A206" s="5" t="s">
        <v>413</v>
      </c>
      <c r="B206" t="str">
        <f>HYPERLINK("https://www.onsemi.com/PowerSolutions/product.do?id=NC7S04","NC7S04")</f>
        <v>NC7S04</v>
      </c>
      <c r="C206" t="str">
        <f>HYPERLINK("https://www.onsemi.com/pub/Collateral/NC7S04-D.PDF","NC7S04/D (186kB)")</f>
        <v>NC7S04/D (186kB)</v>
      </c>
      <c r="D206" t="s">
        <v>298</v>
      </c>
      <c r="E206" s="2" t="s">
        <v>23</v>
      </c>
      <c r="F206" t="s">
        <v>14</v>
      </c>
      <c r="H206" s="2" t="s">
        <v>116</v>
      </c>
      <c r="I206" s="2" t="s">
        <v>117</v>
      </c>
      <c r="J206" s="2" t="s">
        <v>82</v>
      </c>
      <c r="K206" s="2" t="s">
        <v>83</v>
      </c>
      <c r="L206" s="2" t="s">
        <v>16</v>
      </c>
      <c r="M206" s="2"/>
      <c r="N206" s="2" t="s">
        <v>133</v>
      </c>
      <c r="O206" s="2" t="s">
        <v>299</v>
      </c>
    </row>
    <row r="207" spans="1:15" ht="38.25">
      <c r="A207" s="5" t="s">
        <v>413</v>
      </c>
      <c r="B207" t="str">
        <f>HYPERLINK("https://www.onsemi.com/PowerSolutions/product.do?id=NC7S14","NC7S14")</f>
        <v>NC7S14</v>
      </c>
      <c r="C207" t="str">
        <f>HYPERLINK("https://www.onsemi.com/pub/Collateral/NC7S14-D.PDF","NC7S14/D (187kB)")</f>
        <v>NC7S14/D (187kB)</v>
      </c>
      <c r="D207" t="s">
        <v>300</v>
      </c>
      <c r="E207" s="2" t="s">
        <v>23</v>
      </c>
      <c r="F207" t="s">
        <v>14</v>
      </c>
      <c r="H207" s="2" t="s">
        <v>116</v>
      </c>
      <c r="I207" s="2" t="s">
        <v>117</v>
      </c>
      <c r="J207" s="2" t="s">
        <v>82</v>
      </c>
      <c r="K207" s="2" t="s">
        <v>83</v>
      </c>
      <c r="L207" s="2" t="s">
        <v>71</v>
      </c>
      <c r="M207" s="2"/>
      <c r="N207" s="2" t="s">
        <v>133</v>
      </c>
      <c r="O207" s="2" t="s">
        <v>301</v>
      </c>
    </row>
    <row r="208" spans="1:15" ht="38.25">
      <c r="A208" s="5" t="s">
        <v>413</v>
      </c>
      <c r="B208" t="str">
        <f>HYPERLINK("https://www.onsemi.com/PowerSolutions/product.do?id=NC7SP04","NC7SP04")</f>
        <v>NC7SP04</v>
      </c>
      <c r="C208" t="str">
        <f>HYPERLINK("https://www.onsemi.com/pub/Collateral/NC7SP04-D.pdf","NC7SP04/D (765kB)")</f>
        <v>NC7SP04/D (765kB)</v>
      </c>
      <c r="D208" t="s">
        <v>302</v>
      </c>
      <c r="E208" s="2" t="s">
        <v>23</v>
      </c>
      <c r="F208" t="s">
        <v>14</v>
      </c>
      <c r="H208" s="2" t="s">
        <v>116</v>
      </c>
      <c r="I208" s="2" t="s">
        <v>117</v>
      </c>
      <c r="J208" s="2" t="s">
        <v>130</v>
      </c>
      <c r="K208" s="2" t="s">
        <v>131</v>
      </c>
      <c r="L208" s="2" t="s">
        <v>151</v>
      </c>
      <c r="M208" s="2"/>
      <c r="N208" s="2" t="s">
        <v>133</v>
      </c>
      <c r="O208" s="2" t="s">
        <v>303</v>
      </c>
    </row>
    <row r="209" spans="1:15" ht="25.5">
      <c r="A209" s="5" t="s">
        <v>413</v>
      </c>
      <c r="B209" t="str">
        <f>HYPERLINK("https://www.onsemi.com/PowerSolutions/product.do?id=NC7SP05","NC7SP05")</f>
        <v>NC7SP05</v>
      </c>
      <c r="C209" t="str">
        <f>HYPERLINK("https://www.onsemi.com/pub/Collateral/NC7SP05-D.pdf","NC7SP05/D (410kB)")</f>
        <v>NC7SP05/D (410kB)</v>
      </c>
      <c r="D209" t="s">
        <v>304</v>
      </c>
      <c r="E209" s="2" t="s">
        <v>23</v>
      </c>
      <c r="F209" t="s">
        <v>14</v>
      </c>
      <c r="H209" s="2" t="s">
        <v>116</v>
      </c>
      <c r="I209" s="2" t="s">
        <v>117</v>
      </c>
      <c r="J209" s="2" t="s">
        <v>130</v>
      </c>
      <c r="K209" s="2" t="s">
        <v>131</v>
      </c>
      <c r="L209" s="2" t="s">
        <v>16</v>
      </c>
      <c r="M209" s="2"/>
      <c r="N209" s="2" t="s">
        <v>133</v>
      </c>
      <c r="O209" s="2" t="s">
        <v>305</v>
      </c>
    </row>
    <row r="210" spans="1:15" ht="25.5">
      <c r="A210" s="5" t="s">
        <v>413</v>
      </c>
      <c r="B210" t="str">
        <f>HYPERLINK("https://www.onsemi.com/PowerSolutions/product.do?id=NC7SP125","NC7SP125")</f>
        <v>NC7SP125</v>
      </c>
      <c r="C210" t="str">
        <f>HYPERLINK("https://www.onsemi.com/pub/Collateral/NC7SP125-D.pdf","NC7SP125/D (412kB)")</f>
        <v>NC7SP125/D (412kB)</v>
      </c>
      <c r="D210" t="s">
        <v>306</v>
      </c>
      <c r="E210" s="2" t="s">
        <v>23</v>
      </c>
      <c r="F210" t="s">
        <v>14</v>
      </c>
      <c r="H210" s="2" t="s">
        <v>116</v>
      </c>
      <c r="I210" s="2" t="s">
        <v>121</v>
      </c>
      <c r="J210" s="2" t="s">
        <v>130</v>
      </c>
      <c r="K210" s="2" t="s">
        <v>131</v>
      </c>
      <c r="L210" s="2" t="s">
        <v>108</v>
      </c>
      <c r="M210" s="2"/>
      <c r="N210" s="2" t="s">
        <v>133</v>
      </c>
      <c r="O210" s="2" t="s">
        <v>305</v>
      </c>
    </row>
    <row r="211" spans="1:15" ht="38.25">
      <c r="A211" s="5" t="s">
        <v>413</v>
      </c>
      <c r="B211" t="str">
        <f>HYPERLINK("https://www.onsemi.com/PowerSolutions/product.do?id=NC7SP126","NC7SP126")</f>
        <v>NC7SP126</v>
      </c>
      <c r="C211" t="str">
        <f>HYPERLINK("https://www.onsemi.com/pub/Collateral/NC7SP126-D.pdf","NC7SP126/D (696kB)")</f>
        <v>NC7SP126/D (696kB)</v>
      </c>
      <c r="D211" t="s">
        <v>306</v>
      </c>
      <c r="E211" s="2" t="s">
        <v>23</v>
      </c>
      <c r="F211" t="s">
        <v>14</v>
      </c>
      <c r="H211" s="2" t="s">
        <v>116</v>
      </c>
      <c r="I211" s="2" t="s">
        <v>121</v>
      </c>
      <c r="J211" s="2" t="s">
        <v>130</v>
      </c>
      <c r="K211" s="2" t="s">
        <v>131</v>
      </c>
      <c r="L211" s="2" t="s">
        <v>108</v>
      </c>
      <c r="M211" s="2"/>
      <c r="N211" s="2" t="s">
        <v>133</v>
      </c>
      <c r="O211" s="2" t="s">
        <v>303</v>
      </c>
    </row>
    <row r="212" spans="1:15" ht="25.5">
      <c r="A212" s="5" t="s">
        <v>413</v>
      </c>
      <c r="B212" t="str">
        <f>HYPERLINK("https://www.onsemi.com/PowerSolutions/product.do?id=NC7SP14","NC7SP14")</f>
        <v>NC7SP14</v>
      </c>
      <c r="C212" t="str">
        <f>HYPERLINK("https://www.onsemi.com/pub/Collateral/NC7SP14-D.pdf","NC7SP14/D (413kB)")</f>
        <v>NC7SP14/D (413kB)</v>
      </c>
      <c r="D212" t="s">
        <v>307</v>
      </c>
      <c r="E212" s="2" t="s">
        <v>23</v>
      </c>
      <c r="F212" t="s">
        <v>14</v>
      </c>
      <c r="H212" s="2" t="s">
        <v>116</v>
      </c>
      <c r="I212" s="2" t="s">
        <v>117</v>
      </c>
      <c r="J212" s="2" t="s">
        <v>130</v>
      </c>
      <c r="K212" s="2" t="s">
        <v>131</v>
      </c>
      <c r="L212" s="2" t="s">
        <v>151</v>
      </c>
      <c r="M212" s="2"/>
      <c r="N212" s="2" t="s">
        <v>133</v>
      </c>
      <c r="O212" s="2" t="s">
        <v>305</v>
      </c>
    </row>
    <row r="213" spans="1:15" ht="38.25">
      <c r="A213" s="5" t="s">
        <v>413</v>
      </c>
      <c r="B213" t="str">
        <f>HYPERLINK("https://www.onsemi.com/PowerSolutions/product.do?id=NC7SP17","NC7SP17")</f>
        <v>NC7SP17</v>
      </c>
      <c r="C213" t="str">
        <f>HYPERLINK("https://www.onsemi.com/pub/Collateral/NC7SP17-D.pdf","NC7SP17/D (812kB)")</f>
        <v>NC7SP17/D (812kB)</v>
      </c>
      <c r="D213" t="s">
        <v>308</v>
      </c>
      <c r="E213" s="2" t="s">
        <v>23</v>
      </c>
      <c r="F213" t="s">
        <v>14</v>
      </c>
      <c r="H213" s="2" t="s">
        <v>116</v>
      </c>
      <c r="I213" s="2" t="s">
        <v>117</v>
      </c>
      <c r="J213" s="2" t="s">
        <v>130</v>
      </c>
      <c r="K213" s="2" t="s">
        <v>131</v>
      </c>
      <c r="L213" s="2" t="s">
        <v>151</v>
      </c>
      <c r="M213" s="2"/>
      <c r="N213" s="2" t="s">
        <v>133</v>
      </c>
      <c r="O213" s="2" t="s">
        <v>303</v>
      </c>
    </row>
    <row r="214" spans="1:15" ht="25.5">
      <c r="A214" s="5" t="s">
        <v>413</v>
      </c>
      <c r="B214" t="str">
        <f>HYPERLINK("https://www.onsemi.com/PowerSolutions/product.do?id=NC7SP34","NC7SP34")</f>
        <v>NC7SP34</v>
      </c>
      <c r="C214" t="str">
        <f>HYPERLINK("https://www.onsemi.com/pub/Collateral/NC7SP34-D.pdf","NC7SP34/D (414kB)")</f>
        <v>NC7SP34/D (414kB)</v>
      </c>
      <c r="D214" t="s">
        <v>309</v>
      </c>
      <c r="E214" s="2" t="s">
        <v>23</v>
      </c>
      <c r="F214" t="s">
        <v>14</v>
      </c>
      <c r="H214" s="2" t="s">
        <v>116</v>
      </c>
      <c r="I214" s="2" t="s">
        <v>117</v>
      </c>
      <c r="J214" s="2" t="s">
        <v>130</v>
      </c>
      <c r="K214" s="2" t="s">
        <v>131</v>
      </c>
      <c r="L214" s="2" t="s">
        <v>151</v>
      </c>
      <c r="M214" s="2"/>
      <c r="N214" s="2" t="s">
        <v>133</v>
      </c>
      <c r="O214" s="2" t="s">
        <v>305</v>
      </c>
    </row>
    <row r="215" spans="1:15" ht="25.5">
      <c r="A215" s="5" t="s">
        <v>413</v>
      </c>
      <c r="B215" t="str">
        <f>HYPERLINK("https://www.onsemi.com/PowerSolutions/product.do?id=NC7SPU04","NC7SPU04")</f>
        <v>NC7SPU04</v>
      </c>
      <c r="C215" t="str">
        <f>HYPERLINK("https://www.onsemi.com/pub/Collateral/NC7SPU04-D.pdf","NC7SPU04/D (417kB)")</f>
        <v>NC7SPU04/D (417kB)</v>
      </c>
      <c r="D215" t="s">
        <v>310</v>
      </c>
      <c r="E215" s="2" t="s">
        <v>23</v>
      </c>
      <c r="F215" t="s">
        <v>14</v>
      </c>
      <c r="H215" s="2" t="s">
        <v>116</v>
      </c>
      <c r="I215" s="2" t="s">
        <v>117</v>
      </c>
      <c r="J215" s="2" t="s">
        <v>130</v>
      </c>
      <c r="K215" s="2" t="s">
        <v>131</v>
      </c>
      <c r="L215" s="2" t="s">
        <v>151</v>
      </c>
      <c r="M215" s="2"/>
      <c r="N215" s="2" t="s">
        <v>133</v>
      </c>
      <c r="O215" s="2" t="s">
        <v>305</v>
      </c>
    </row>
    <row r="216" spans="1:15" ht="25.5">
      <c r="A216" s="5" t="s">
        <v>413</v>
      </c>
      <c r="B216" t="str">
        <f>HYPERLINK("https://www.onsemi.com/PowerSolutions/product.do?id=NC7ST04","NC7ST04")</f>
        <v>NC7ST04</v>
      </c>
      <c r="C216" t="str">
        <f>HYPERLINK("https://www.onsemi.com/pub/Collateral/NC7ST04-D.PDF","NC7ST04/D (139kB)")</f>
        <v>NC7ST04/D (139kB)</v>
      </c>
      <c r="D216" t="s">
        <v>311</v>
      </c>
      <c r="E216" s="2" t="s">
        <v>23</v>
      </c>
      <c r="F216" t="s">
        <v>14</v>
      </c>
      <c r="H216" s="2" t="s">
        <v>116</v>
      </c>
      <c r="I216" s="2" t="s">
        <v>117</v>
      </c>
      <c r="J216" s="2" t="s">
        <v>71</v>
      </c>
      <c r="K216" s="2" t="s">
        <v>89</v>
      </c>
      <c r="L216" s="2" t="s">
        <v>83</v>
      </c>
      <c r="M216" s="2"/>
      <c r="N216" s="2" t="s">
        <v>82</v>
      </c>
      <c r="O216" s="2" t="s">
        <v>312</v>
      </c>
    </row>
    <row r="217" spans="1:15" ht="38.25">
      <c r="A217" s="5" t="s">
        <v>413</v>
      </c>
      <c r="B217" t="str">
        <f>HYPERLINK("https://www.onsemi.com/PowerSolutions/product.do?id=NC7SU04","NC7SU04")</f>
        <v>NC7SU04</v>
      </c>
      <c r="C217" t="str">
        <f>HYPERLINK("https://www.onsemi.com/pub/Collateral/NC7SU04-D.PDF","NC7SU04/D (185kB)")</f>
        <v>NC7SU04/D (185kB)</v>
      </c>
      <c r="D217" t="s">
        <v>313</v>
      </c>
      <c r="E217" s="2" t="s">
        <v>23</v>
      </c>
      <c r="F217" t="s">
        <v>14</v>
      </c>
      <c r="H217" s="2" t="s">
        <v>116</v>
      </c>
      <c r="I217" s="2" t="s">
        <v>117</v>
      </c>
      <c r="J217" s="2" t="s">
        <v>82</v>
      </c>
      <c r="K217" s="2" t="s">
        <v>83</v>
      </c>
      <c r="L217" s="2" t="s">
        <v>16</v>
      </c>
      <c r="M217" s="2"/>
      <c r="N217" s="2" t="s">
        <v>133</v>
      </c>
      <c r="O217" s="2" t="s">
        <v>314</v>
      </c>
    </row>
    <row r="218" spans="1:15" ht="38.25">
      <c r="A218" s="5" t="s">
        <v>413</v>
      </c>
      <c r="B218" t="str">
        <f>HYPERLINK("https://www.onsemi.com/PowerSolutions/product.do?id=NC7SV04","NC7SV04")</f>
        <v>NC7SV04</v>
      </c>
      <c r="C218" t="str">
        <f>HYPERLINK("https://www.onsemi.com/pub/Collateral/NC7SV04-D.pdf","NC7SV04/D (673kB)")</f>
        <v>NC7SV04/D (673kB)</v>
      </c>
      <c r="D218" t="s">
        <v>315</v>
      </c>
      <c r="E218" s="2" t="s">
        <v>23</v>
      </c>
      <c r="F218" t="s">
        <v>14</v>
      </c>
      <c r="H218" s="2" t="s">
        <v>116</v>
      </c>
      <c r="I218" s="2" t="s">
        <v>117</v>
      </c>
      <c r="J218" s="2" t="s">
        <v>130</v>
      </c>
      <c r="K218" s="2" t="s">
        <v>131</v>
      </c>
      <c r="L218" s="2" t="s">
        <v>316</v>
      </c>
      <c r="M218" s="2"/>
      <c r="N218" s="2" t="s">
        <v>86</v>
      </c>
      <c r="O218" s="2" t="s">
        <v>303</v>
      </c>
    </row>
    <row r="219" spans="1:15" ht="38.25">
      <c r="A219" s="5" t="s">
        <v>413</v>
      </c>
      <c r="B219" t="str">
        <f>HYPERLINK("https://www.onsemi.com/PowerSolutions/product.do?id=NC7SV05","NC7SV05")</f>
        <v>NC7SV05</v>
      </c>
      <c r="C219" t="str">
        <f>HYPERLINK("https://www.onsemi.com/pub/Collateral/NC7SV05-D.pdf","NC7SV05/D (646kB)")</f>
        <v>NC7SV05/D (646kB)</v>
      </c>
      <c r="D219" t="s">
        <v>317</v>
      </c>
      <c r="E219" s="2" t="s">
        <v>23</v>
      </c>
      <c r="F219" t="s">
        <v>14</v>
      </c>
      <c r="H219" s="2" t="s">
        <v>116</v>
      </c>
      <c r="I219" s="2" t="s">
        <v>117</v>
      </c>
      <c r="J219" s="2" t="s">
        <v>130</v>
      </c>
      <c r="K219" s="2" t="s">
        <v>131</v>
      </c>
      <c r="L219" s="2" t="s">
        <v>116</v>
      </c>
      <c r="M219" s="2"/>
      <c r="N219" s="2" t="s">
        <v>86</v>
      </c>
      <c r="O219" s="2" t="s">
        <v>303</v>
      </c>
    </row>
    <row r="220" spans="1:15" ht="25.5">
      <c r="A220" s="5" t="s">
        <v>413</v>
      </c>
      <c r="B220" t="str">
        <f>HYPERLINK("https://www.onsemi.com/PowerSolutions/product.do?id=NC7SV125","NC7SV125")</f>
        <v>NC7SV125</v>
      </c>
      <c r="C220" t="str">
        <f>HYPERLINK("https://www.onsemi.com/pub/Collateral/NC7SV125-D.pdf","NC7SV125/D (428kB)")</f>
        <v>NC7SV125/D (428kB)</v>
      </c>
      <c r="D220" t="s">
        <v>318</v>
      </c>
      <c r="E220" s="2" t="s">
        <v>23</v>
      </c>
      <c r="F220" t="s">
        <v>14</v>
      </c>
      <c r="H220" s="2" t="s">
        <v>116</v>
      </c>
      <c r="I220" s="2" t="s">
        <v>121</v>
      </c>
      <c r="J220" s="2" t="s">
        <v>130</v>
      </c>
      <c r="K220" s="2" t="s">
        <v>131</v>
      </c>
      <c r="L220" s="2" t="s">
        <v>116</v>
      </c>
      <c r="M220" s="2"/>
      <c r="N220" s="2" t="s">
        <v>86</v>
      </c>
      <c r="O220" s="2" t="s">
        <v>305</v>
      </c>
    </row>
    <row r="221" spans="1:15" ht="25.5">
      <c r="A221" s="5" t="s">
        <v>413</v>
      </c>
      <c r="B221" t="str">
        <f>HYPERLINK("https://www.onsemi.com/PowerSolutions/product.do?id=NC7SV126","NC7SV126")</f>
        <v>NC7SV126</v>
      </c>
      <c r="C221" t="str">
        <f>HYPERLINK("https://www.onsemi.com/pub/Collateral/NC7SV126-D.pdf","NC7SV126/D (652kB)")</f>
        <v>NC7SV126/D (652kB)</v>
      </c>
      <c r="D221" t="s">
        <v>318</v>
      </c>
      <c r="E221" s="2" t="s">
        <v>23</v>
      </c>
      <c r="F221" t="s">
        <v>14</v>
      </c>
      <c r="H221" s="2" t="s">
        <v>116</v>
      </c>
      <c r="I221" s="2" t="s">
        <v>121</v>
      </c>
      <c r="J221" s="2" t="s">
        <v>130</v>
      </c>
      <c r="K221" s="2" t="s">
        <v>131</v>
      </c>
      <c r="L221" s="2" t="s">
        <v>116</v>
      </c>
      <c r="M221" s="2"/>
      <c r="N221" s="2" t="s">
        <v>86</v>
      </c>
      <c r="O221" s="2" t="s">
        <v>305</v>
      </c>
    </row>
    <row r="222" spans="1:15" ht="25.5">
      <c r="A222" s="5" t="s">
        <v>413</v>
      </c>
      <c r="B222" t="str">
        <f>HYPERLINK("https://www.onsemi.com/PowerSolutions/product.do?id=NC7SV14","NC7SV14")</f>
        <v>NC7SV14</v>
      </c>
      <c r="C222" t="str">
        <f>HYPERLINK("https://www.onsemi.com/pub/Collateral/NC7SV14-D.PDF","NC7SV14/D (474kB)")</f>
        <v>NC7SV14/D (474kB)</v>
      </c>
      <c r="D222" t="s">
        <v>319</v>
      </c>
      <c r="E222" s="2" t="s">
        <v>23</v>
      </c>
      <c r="F222" t="s">
        <v>14</v>
      </c>
      <c r="H222" s="2" t="s">
        <v>116</v>
      </c>
      <c r="I222" s="2" t="s">
        <v>117</v>
      </c>
      <c r="J222" s="2" t="s">
        <v>130</v>
      </c>
      <c r="K222" s="2" t="s">
        <v>131</v>
      </c>
      <c r="L222" s="2" t="s">
        <v>316</v>
      </c>
      <c r="M222" s="2"/>
      <c r="N222" s="2" t="s">
        <v>86</v>
      </c>
      <c r="O222" s="2" t="s">
        <v>305</v>
      </c>
    </row>
    <row r="223" spans="1:15" ht="38.25">
      <c r="A223" s="5" t="s">
        <v>413</v>
      </c>
      <c r="B223" t="str">
        <f>HYPERLINK("https://www.onsemi.com/PowerSolutions/product.do?id=NC7SV17","NC7SV17")</f>
        <v>NC7SV17</v>
      </c>
      <c r="C223" t="str">
        <f>HYPERLINK("https://www.onsemi.com/pub/Collateral/NC7SV17-D.PDF","NC7SV17/D (957kB)")</f>
        <v>NC7SV17/D (957kB)</v>
      </c>
      <c r="D223" t="s">
        <v>320</v>
      </c>
      <c r="E223" s="2" t="s">
        <v>23</v>
      </c>
      <c r="F223" t="s">
        <v>14</v>
      </c>
      <c r="H223" s="2" t="s">
        <v>116</v>
      </c>
      <c r="I223" s="2" t="s">
        <v>117</v>
      </c>
      <c r="J223" s="2" t="s">
        <v>130</v>
      </c>
      <c r="K223" s="2" t="s">
        <v>131</v>
      </c>
      <c r="L223" s="2" t="s">
        <v>316</v>
      </c>
      <c r="M223" s="2"/>
      <c r="N223" s="2" t="s">
        <v>86</v>
      </c>
      <c r="O223" s="2" t="s">
        <v>303</v>
      </c>
    </row>
    <row r="224" spans="1:15" ht="25.5">
      <c r="A224" s="5" t="s">
        <v>413</v>
      </c>
      <c r="B224" t="str">
        <f>HYPERLINK("https://www.onsemi.com/PowerSolutions/product.do?id=NC7SV34","NC7SV34")</f>
        <v>NC7SV34</v>
      </c>
      <c r="C224" t="str">
        <f>HYPERLINK("https://www.onsemi.com/pub/Collateral/NC7SV34-D.pdf","NC7SV34/D (414kB)")</f>
        <v>NC7SV34/D (414kB)</v>
      </c>
      <c r="D224" t="s">
        <v>321</v>
      </c>
      <c r="E224" s="2" t="s">
        <v>23</v>
      </c>
      <c r="F224" t="s">
        <v>14</v>
      </c>
      <c r="H224" s="2" t="s">
        <v>116</v>
      </c>
      <c r="I224" s="2" t="s">
        <v>117</v>
      </c>
      <c r="J224" s="2" t="s">
        <v>130</v>
      </c>
      <c r="K224" s="2" t="s">
        <v>131</v>
      </c>
      <c r="L224" s="2" t="s">
        <v>316</v>
      </c>
      <c r="M224" s="2"/>
      <c r="N224" s="2" t="s">
        <v>86</v>
      </c>
      <c r="O224" s="2" t="s">
        <v>305</v>
      </c>
    </row>
    <row r="225" spans="1:15" ht="25.5">
      <c r="A225" s="5" t="s">
        <v>413</v>
      </c>
      <c r="B225" t="str">
        <f>HYPERLINK("https://www.onsemi.com/PowerSolutions/product.do?id=NC7SVL04","NC7SVL04")</f>
        <v>NC7SVL04</v>
      </c>
      <c r="C225" t="str">
        <f>HYPERLINK("https://www.onsemi.com/pub/Collateral/NC7SVL04-D.pdf","NC7SVL04/D (691kB)")</f>
        <v>NC7SVL04/D (691kB)</v>
      </c>
      <c r="D225" t="s">
        <v>322</v>
      </c>
      <c r="E225" s="2" t="s">
        <v>23</v>
      </c>
      <c r="F225" t="s">
        <v>14</v>
      </c>
      <c r="H225" s="2" t="s">
        <v>116</v>
      </c>
      <c r="I225" s="2" t="s">
        <v>117</v>
      </c>
      <c r="J225" s="2" t="s">
        <v>130</v>
      </c>
      <c r="K225" s="2" t="s">
        <v>131</v>
      </c>
      <c r="L225" s="2" t="s">
        <v>316</v>
      </c>
      <c r="M225" s="2"/>
      <c r="N225" s="2" t="s">
        <v>86</v>
      </c>
      <c r="O225" s="2" t="s">
        <v>305</v>
      </c>
    </row>
    <row r="226" spans="1:15" ht="25.5">
      <c r="A226" s="5" t="s">
        <v>413</v>
      </c>
      <c r="B226" t="str">
        <f>HYPERLINK("https://www.onsemi.com/PowerSolutions/product.do?id=NC7SVU04","NC7SVU04")</f>
        <v>NC7SVU04</v>
      </c>
      <c r="C226" t="str">
        <f>HYPERLINK("https://www.onsemi.com/pub/Collateral/NC7SVU04-D.pdf","NC7SVU04/D (413kB)")</f>
        <v>NC7SVU04/D (413kB)</v>
      </c>
      <c r="D226" t="s">
        <v>323</v>
      </c>
      <c r="E226" s="2" t="s">
        <v>23</v>
      </c>
      <c r="F226" t="s">
        <v>14</v>
      </c>
      <c r="H226" s="2" t="s">
        <v>116</v>
      </c>
      <c r="I226" s="2" t="s">
        <v>117</v>
      </c>
      <c r="J226" s="2" t="s">
        <v>130</v>
      </c>
      <c r="K226" s="2" t="s">
        <v>131</v>
      </c>
      <c r="L226" s="2" t="s">
        <v>316</v>
      </c>
      <c r="M226" s="2"/>
      <c r="N226" s="2" t="s">
        <v>86</v>
      </c>
      <c r="O226" s="2" t="s">
        <v>305</v>
      </c>
    </row>
    <row r="227" spans="1:15" ht="51">
      <c r="A227" s="5" t="s">
        <v>413</v>
      </c>
      <c r="B227" t="str">
        <f>HYPERLINK("https://www.onsemi.com/PowerSolutions/product.do?id=NC7SZ04","NC7SZ04")</f>
        <v>NC7SZ04</v>
      </c>
      <c r="C227" t="str">
        <f>HYPERLINK("https://www.onsemi.com/pub/Collateral/NC7SZ04-D.PDF","NC7SZ04/D (242kB)")</f>
        <v>NC7SZ04/D (242kB)</v>
      </c>
      <c r="D227" t="s">
        <v>294</v>
      </c>
      <c r="E227" s="2" t="s">
        <v>23</v>
      </c>
      <c r="F227" t="s">
        <v>14</v>
      </c>
      <c r="H227" s="2" t="s">
        <v>116</v>
      </c>
      <c r="I227" s="2" t="s">
        <v>117</v>
      </c>
      <c r="J227" s="2" t="s">
        <v>127</v>
      </c>
      <c r="K227" s="2" t="s">
        <v>89</v>
      </c>
      <c r="L227" s="2" t="s">
        <v>142</v>
      </c>
      <c r="M227" s="2"/>
      <c r="N227" s="2" t="s">
        <v>143</v>
      </c>
      <c r="O227" s="2" t="s">
        <v>324</v>
      </c>
    </row>
    <row r="228" spans="1:15" ht="51">
      <c r="A228" s="5" t="s">
        <v>413</v>
      </c>
      <c r="B228" t="str">
        <f>HYPERLINK("https://www.onsemi.com/PowerSolutions/product.do?id=NC7SZ05","NC7SZ05")</f>
        <v>NC7SZ05</v>
      </c>
      <c r="C228" t="str">
        <f>HYPERLINK("https://www.onsemi.com/pub/Collateral/NC7SZ05-D.PDF","NC7SZ05/D (262kB)")</f>
        <v>NC7SZ05/D (262kB)</v>
      </c>
      <c r="D228" t="s">
        <v>325</v>
      </c>
      <c r="E228" s="2" t="s">
        <v>23</v>
      </c>
      <c r="F228" t="s">
        <v>14</v>
      </c>
      <c r="H228" s="2" t="s">
        <v>116</v>
      </c>
      <c r="I228" s="2" t="s">
        <v>117</v>
      </c>
      <c r="J228" s="2" t="s">
        <v>127</v>
      </c>
      <c r="K228" s="2" t="s">
        <v>89</v>
      </c>
      <c r="L228" s="2" t="s">
        <v>326</v>
      </c>
      <c r="M228" s="2"/>
      <c r="N228" s="2" t="s">
        <v>143</v>
      </c>
      <c r="O228" s="2" t="s">
        <v>324</v>
      </c>
    </row>
    <row r="229" spans="1:15" ht="51">
      <c r="A229" s="5" t="s">
        <v>413</v>
      </c>
      <c r="B229" t="str">
        <f>HYPERLINK("https://www.onsemi.com/PowerSolutions/product.do?id=NC7SZ125","NC7SZ125")</f>
        <v>NC7SZ125</v>
      </c>
      <c r="C229" t="str">
        <f>HYPERLINK("https://www.onsemi.com/pub/Collateral/NC7SZ125-D.PDF","NC7SZ125/D (257kB)")</f>
        <v>NC7SZ125/D (257kB)</v>
      </c>
      <c r="D229" t="s">
        <v>327</v>
      </c>
      <c r="E229" s="2" t="s">
        <v>23</v>
      </c>
      <c r="F229" t="s">
        <v>14</v>
      </c>
      <c r="H229" s="2" t="s">
        <v>116</v>
      </c>
      <c r="I229" s="2" t="s">
        <v>121</v>
      </c>
      <c r="J229" s="2" t="s">
        <v>127</v>
      </c>
      <c r="K229" s="2" t="s">
        <v>89</v>
      </c>
      <c r="L229" s="2" t="s">
        <v>133</v>
      </c>
      <c r="M229" s="2"/>
      <c r="N229" s="2" t="s">
        <v>143</v>
      </c>
      <c r="O229" s="2" t="s">
        <v>324</v>
      </c>
    </row>
    <row r="230" spans="1:15" ht="51">
      <c r="A230" s="5" t="s">
        <v>413</v>
      </c>
      <c r="B230" t="str">
        <f>HYPERLINK("https://www.onsemi.com/PowerSolutions/product.do?id=NC7SZ126","NC7SZ126")</f>
        <v>NC7SZ126</v>
      </c>
      <c r="C230" t="str">
        <f>HYPERLINK("https://www.onsemi.com/pub/Collateral/NC7SZ126-D.PDF","NC7SZ126/D (257kB)")</f>
        <v>NC7SZ126/D (257kB)</v>
      </c>
      <c r="D230" t="s">
        <v>327</v>
      </c>
      <c r="E230" s="2" t="s">
        <v>23</v>
      </c>
      <c r="F230" t="s">
        <v>14</v>
      </c>
      <c r="H230" s="2" t="s">
        <v>116</v>
      </c>
      <c r="I230" s="2" t="s">
        <v>121</v>
      </c>
      <c r="J230" s="2" t="s">
        <v>127</v>
      </c>
      <c r="K230" s="2" t="s">
        <v>89</v>
      </c>
      <c r="L230" s="2" t="s">
        <v>133</v>
      </c>
      <c r="M230" s="2"/>
      <c r="N230" s="2" t="s">
        <v>143</v>
      </c>
      <c r="O230" s="2" t="s">
        <v>328</v>
      </c>
    </row>
    <row r="231" spans="1:15" ht="51">
      <c r="A231" s="5" t="s">
        <v>413</v>
      </c>
      <c r="B231" t="str">
        <f>HYPERLINK("https://www.onsemi.com/PowerSolutions/product.do?id=NC7SZ14","NC7SZ14")</f>
        <v>NC7SZ14</v>
      </c>
      <c r="C231" t="str">
        <f>HYPERLINK("https://www.onsemi.com/pub/Collateral/NC7SZ14-D.PDF","NC7SZ14/D (244kB)")</f>
        <v>NC7SZ14/D (244kB)</v>
      </c>
      <c r="D231" t="s">
        <v>295</v>
      </c>
      <c r="E231" s="2" t="s">
        <v>23</v>
      </c>
      <c r="F231" t="s">
        <v>14</v>
      </c>
      <c r="H231" s="2" t="s">
        <v>116</v>
      </c>
      <c r="I231" s="2" t="s">
        <v>117</v>
      </c>
      <c r="J231" s="2" t="s">
        <v>127</v>
      </c>
      <c r="K231" s="2" t="s">
        <v>89</v>
      </c>
      <c r="L231" s="2" t="s">
        <v>159</v>
      </c>
      <c r="M231" s="2"/>
      <c r="N231" s="2" t="s">
        <v>143</v>
      </c>
      <c r="O231" s="2" t="s">
        <v>324</v>
      </c>
    </row>
    <row r="232" spans="1:15" ht="25.5">
      <c r="A232" s="5" t="s">
        <v>413</v>
      </c>
      <c r="B232" t="str">
        <f>HYPERLINK("https://www.onsemi.com/PowerSolutions/product.do?id=NC7SZ34","NC7SZ34")</f>
        <v>NC7SZ34</v>
      </c>
      <c r="C232" t="str">
        <f>HYPERLINK("https://www.onsemi.com/pub/Collateral/NC7SZ34-D.pdf","NC7SZ34/D (729kB)")</f>
        <v>NC7SZ34/D (729kB)</v>
      </c>
      <c r="D232" t="s">
        <v>329</v>
      </c>
      <c r="E232" s="2" t="s">
        <v>23</v>
      </c>
      <c r="F232" t="s">
        <v>14</v>
      </c>
      <c r="H232" s="2" t="s">
        <v>116</v>
      </c>
      <c r="I232" s="2" t="s">
        <v>117</v>
      </c>
      <c r="J232" s="2" t="s">
        <v>127</v>
      </c>
      <c r="K232" s="2" t="s">
        <v>89</v>
      </c>
      <c r="L232" s="2" t="s">
        <v>142</v>
      </c>
      <c r="M232" s="2"/>
      <c r="N232" s="2" t="s">
        <v>143</v>
      </c>
      <c r="O232" s="2" t="s">
        <v>330</v>
      </c>
    </row>
    <row r="233" spans="1:15" ht="51">
      <c r="A233" s="5" t="s">
        <v>413</v>
      </c>
      <c r="B233" t="str">
        <f>HYPERLINK("https://www.onsemi.com/PowerSolutions/product.do?id=NC7SZU04","NC7SZU04")</f>
        <v>NC7SZU04</v>
      </c>
      <c r="C233" t="str">
        <f>HYPERLINK("https://www.onsemi.com/pub/Collateral/NC7SZU04-D.PDF","NC7SZU04/D (249kB)")</f>
        <v>NC7SZU04/D (249kB)</v>
      </c>
      <c r="D233" t="s">
        <v>331</v>
      </c>
      <c r="E233" s="2" t="s">
        <v>23</v>
      </c>
      <c r="F233" t="s">
        <v>14</v>
      </c>
      <c r="H233" s="2" t="s">
        <v>116</v>
      </c>
      <c r="I233" s="2" t="s">
        <v>117</v>
      </c>
      <c r="J233" s="2" t="s">
        <v>127</v>
      </c>
      <c r="K233" s="2" t="s">
        <v>89</v>
      </c>
      <c r="L233" s="2" t="s">
        <v>151</v>
      </c>
      <c r="M233" s="2"/>
      <c r="N233" s="2" t="s">
        <v>72</v>
      </c>
      <c r="O233" s="2" t="s">
        <v>328</v>
      </c>
    </row>
    <row r="234" spans="1:15" ht="25.5">
      <c r="A234" s="5" t="s">
        <v>413</v>
      </c>
      <c r="B234" t="str">
        <f>HYPERLINK("https://www.onsemi.com/PowerSolutions/product.do?id=NC7WP125","NC7WP125")</f>
        <v>NC7WP125</v>
      </c>
      <c r="C234" t="str">
        <f>HYPERLINK("https://www.onsemi.com/pub/Collateral/NC7WP125-D.pdf","NC7WP125/D (351kB)")</f>
        <v>NC7WP125/D (351kB)</v>
      </c>
      <c r="D234" t="s">
        <v>306</v>
      </c>
      <c r="E234" s="2" t="s">
        <v>23</v>
      </c>
      <c r="F234" t="s">
        <v>14</v>
      </c>
      <c r="H234" s="2" t="s">
        <v>82</v>
      </c>
      <c r="I234" s="2" t="s">
        <v>121</v>
      </c>
      <c r="J234" s="2" t="s">
        <v>130</v>
      </c>
      <c r="K234" s="2" t="s">
        <v>131</v>
      </c>
      <c r="L234" s="2" t="s">
        <v>108</v>
      </c>
      <c r="M234" s="2"/>
      <c r="N234" s="2" t="s">
        <v>133</v>
      </c>
      <c r="O234" s="2" t="s">
        <v>292</v>
      </c>
    </row>
    <row r="235" spans="1:15" ht="38.25">
      <c r="A235" s="5" t="s">
        <v>413</v>
      </c>
      <c r="B235" t="str">
        <f>HYPERLINK("https://www.onsemi.com/PowerSolutions/product.do?id=NC7WP14","NC7WP14")</f>
        <v>NC7WP14</v>
      </c>
      <c r="C235" t="str">
        <f>HYPERLINK("https://www.onsemi.com/pub/Collateral/NC7WP14-D.pdf","NC7WP14/D (301kB)")</f>
        <v>NC7WP14/D (301kB)</v>
      </c>
      <c r="D235" t="s">
        <v>332</v>
      </c>
      <c r="E235" s="2" t="s">
        <v>23</v>
      </c>
      <c r="F235" t="s">
        <v>14</v>
      </c>
      <c r="H235" s="2" t="s">
        <v>82</v>
      </c>
      <c r="I235" s="2" t="s">
        <v>117</v>
      </c>
      <c r="J235" s="2" t="s">
        <v>130</v>
      </c>
      <c r="K235" s="2" t="s">
        <v>131</v>
      </c>
      <c r="L235" s="2" t="s">
        <v>151</v>
      </c>
      <c r="M235" s="2"/>
      <c r="N235" s="2" t="s">
        <v>133</v>
      </c>
      <c r="O235" s="2" t="s">
        <v>333</v>
      </c>
    </row>
    <row r="236" spans="1:15" ht="38.25">
      <c r="A236" s="5" t="s">
        <v>413</v>
      </c>
      <c r="B236" t="str">
        <f>HYPERLINK("https://www.onsemi.com/PowerSolutions/product.do?id=NC7WV04","NC7WV04")</f>
        <v>NC7WV04</v>
      </c>
      <c r="C236" t="str">
        <f>HYPERLINK("https://www.onsemi.com/pub/Collateral/NC7WV04-D.pdf","NC7WV04/D (301kB)")</f>
        <v>NC7WV04/D (301kB)</v>
      </c>
      <c r="D236" t="s">
        <v>334</v>
      </c>
      <c r="E236" s="2" t="s">
        <v>23</v>
      </c>
      <c r="F236" t="s">
        <v>14</v>
      </c>
      <c r="H236" s="2" t="s">
        <v>82</v>
      </c>
      <c r="I236" s="2" t="s">
        <v>117</v>
      </c>
      <c r="J236" s="2" t="s">
        <v>130</v>
      </c>
      <c r="K236" s="2" t="s">
        <v>131</v>
      </c>
      <c r="L236" s="2" t="s">
        <v>316</v>
      </c>
      <c r="M236" s="2"/>
      <c r="N236" s="2" t="s">
        <v>86</v>
      </c>
      <c r="O236" s="2" t="s">
        <v>333</v>
      </c>
    </row>
    <row r="237" spans="1:15" ht="38.25">
      <c r="A237" s="5" t="s">
        <v>413</v>
      </c>
      <c r="B237" t="str">
        <f>HYPERLINK("https://www.onsemi.com/PowerSolutions/product.do?id=NC7WV07","NC7WV07")</f>
        <v>NC7WV07</v>
      </c>
      <c r="C237" t="str">
        <f>HYPERLINK("https://www.onsemi.com/pub/Collateral/NC7WV07-D.pdf","NC7WV07/D (500kB)")</f>
        <v>NC7WV07/D (500kB)</v>
      </c>
      <c r="D237" t="s">
        <v>335</v>
      </c>
      <c r="E237" s="2" t="s">
        <v>23</v>
      </c>
      <c r="F237" t="s">
        <v>14</v>
      </c>
      <c r="H237" s="2" t="s">
        <v>82</v>
      </c>
      <c r="I237" s="2" t="s">
        <v>219</v>
      </c>
      <c r="J237" s="2" t="s">
        <v>130</v>
      </c>
      <c r="K237" s="2" t="s">
        <v>131</v>
      </c>
      <c r="L237" s="2" t="s">
        <v>116</v>
      </c>
      <c r="M237" s="2"/>
      <c r="N237" s="2" t="s">
        <v>86</v>
      </c>
      <c r="O237" s="2" t="s">
        <v>333</v>
      </c>
    </row>
    <row r="238" spans="1:15" ht="25.5">
      <c r="A238" s="5" t="s">
        <v>413</v>
      </c>
      <c r="B238" t="str">
        <f>HYPERLINK("https://www.onsemi.com/PowerSolutions/product.do?id=NC7WV125","NC7WV125")</f>
        <v>NC7WV125</v>
      </c>
      <c r="C238" t="str">
        <f>HYPERLINK("https://www.onsemi.com/pub/Collateral/NC7WV125-D.pdf","NC7WV125/D (1024kB)")</f>
        <v>NC7WV125/D (1024kB)</v>
      </c>
      <c r="D238" t="s">
        <v>336</v>
      </c>
      <c r="E238" s="2" t="s">
        <v>23</v>
      </c>
      <c r="F238" t="s">
        <v>14</v>
      </c>
      <c r="H238" s="2" t="s">
        <v>116</v>
      </c>
      <c r="I238" s="2" t="s">
        <v>121</v>
      </c>
      <c r="J238" s="2" t="s">
        <v>130</v>
      </c>
      <c r="K238" s="2" t="s">
        <v>131</v>
      </c>
      <c r="L238" s="2" t="s">
        <v>116</v>
      </c>
      <c r="M238" s="2"/>
      <c r="N238" s="2" t="s">
        <v>86</v>
      </c>
      <c r="O238" s="2" t="s">
        <v>337</v>
      </c>
    </row>
    <row r="239" spans="1:15" ht="38.25">
      <c r="A239" s="5" t="s">
        <v>413</v>
      </c>
      <c r="B239" t="str">
        <f>HYPERLINK("https://www.onsemi.com/PowerSolutions/product.do?id=NC7WV14","NC7WV14")</f>
        <v>NC7WV14</v>
      </c>
      <c r="C239" t="str">
        <f>HYPERLINK("https://www.onsemi.com/pub/Collateral/NC7WV14-D.pdf","NC7WV14/D (482kB)")</f>
        <v>NC7WV14/D (482kB)</v>
      </c>
      <c r="D239" t="s">
        <v>338</v>
      </c>
      <c r="E239" s="2" t="s">
        <v>23</v>
      </c>
      <c r="F239" t="s">
        <v>14</v>
      </c>
      <c r="H239" s="2" t="s">
        <v>82</v>
      </c>
      <c r="I239" s="2" t="s">
        <v>117</v>
      </c>
      <c r="J239" s="2" t="s">
        <v>130</v>
      </c>
      <c r="K239" s="2" t="s">
        <v>131</v>
      </c>
      <c r="L239" s="2" t="s">
        <v>316</v>
      </c>
      <c r="M239" s="2"/>
      <c r="N239" s="2" t="s">
        <v>86</v>
      </c>
      <c r="O239" s="2" t="s">
        <v>333</v>
      </c>
    </row>
    <row r="240" spans="1:15" ht="38.25">
      <c r="A240" s="5" t="s">
        <v>413</v>
      </c>
      <c r="B240" t="str">
        <f>HYPERLINK("https://www.onsemi.com/PowerSolutions/product.do?id=NC7WV16","NC7WV16")</f>
        <v>NC7WV16</v>
      </c>
      <c r="C240" t="str">
        <f>HYPERLINK("https://www.onsemi.com/pub/Collateral/NC7WV16-D.pdf","NC7WV16/D (302kB)")</f>
        <v>NC7WV16/D (302kB)</v>
      </c>
      <c r="D240" t="s">
        <v>339</v>
      </c>
      <c r="E240" s="2" t="s">
        <v>23</v>
      </c>
      <c r="F240" t="s">
        <v>14</v>
      </c>
      <c r="H240" s="2" t="s">
        <v>82</v>
      </c>
      <c r="I240" s="2" t="s">
        <v>117</v>
      </c>
      <c r="J240" s="2" t="s">
        <v>130</v>
      </c>
      <c r="K240" s="2" t="s">
        <v>131</v>
      </c>
      <c r="L240" s="2" t="s">
        <v>316</v>
      </c>
      <c r="M240" s="2"/>
      <c r="N240" s="2" t="s">
        <v>86</v>
      </c>
      <c r="O240" s="2" t="s">
        <v>333</v>
      </c>
    </row>
    <row r="241" spans="1:15" ht="38.25">
      <c r="A241" s="5" t="s">
        <v>413</v>
      </c>
      <c r="B241" t="str">
        <f>HYPERLINK("https://www.onsemi.com/PowerSolutions/product.do?id=NC7WV17","NC7WV17")</f>
        <v>NC7WV17</v>
      </c>
      <c r="C241" t="str">
        <f>HYPERLINK("https://www.onsemi.com/pub/Collateral/NC7WV17-D.PDF","NC7WV17/D (296kB)")</f>
        <v>NC7WV17/D (296kB)</v>
      </c>
      <c r="D241" t="s">
        <v>340</v>
      </c>
      <c r="E241" s="2" t="s">
        <v>23</v>
      </c>
      <c r="F241" t="s">
        <v>14</v>
      </c>
      <c r="H241" s="2" t="s">
        <v>82</v>
      </c>
      <c r="I241" s="2" t="s">
        <v>117</v>
      </c>
      <c r="J241" s="2" t="s">
        <v>130</v>
      </c>
      <c r="K241" s="2" t="s">
        <v>131</v>
      </c>
      <c r="L241" s="2" t="s">
        <v>316</v>
      </c>
      <c r="M241" s="2"/>
      <c r="N241" s="2" t="s">
        <v>86</v>
      </c>
      <c r="O241" s="2" t="s">
        <v>333</v>
      </c>
    </row>
    <row r="242" spans="1:15" ht="51">
      <c r="A242" s="5" t="s">
        <v>413</v>
      </c>
      <c r="B242" t="str">
        <f>HYPERLINK("https://www.onsemi.com/PowerSolutions/product.do?id=NC7WZ04","NC7WZ04")</f>
        <v>NC7WZ04</v>
      </c>
      <c r="C242" t="str">
        <f>HYPERLINK("https://www.onsemi.com/pub/Collateral/NC7WZ04-D.PDF","NC7WZ04/D (126kB)")</f>
        <v>NC7WZ04/D (126kB)</v>
      </c>
      <c r="D242" t="s">
        <v>341</v>
      </c>
      <c r="E242" s="2" t="s">
        <v>23</v>
      </c>
      <c r="F242" t="s">
        <v>14</v>
      </c>
      <c r="H242" s="2" t="s">
        <v>82</v>
      </c>
      <c r="I242" s="2" t="s">
        <v>117</v>
      </c>
      <c r="J242" s="2" t="s">
        <v>127</v>
      </c>
      <c r="K242" s="2" t="s">
        <v>89</v>
      </c>
      <c r="L242" s="2" t="s">
        <v>342</v>
      </c>
      <c r="M242" s="2"/>
      <c r="N242" s="2" t="s">
        <v>143</v>
      </c>
      <c r="O242" s="2" t="s">
        <v>343</v>
      </c>
    </row>
    <row r="243" spans="1:15" ht="51">
      <c r="A243" s="5" t="s">
        <v>413</v>
      </c>
      <c r="B243" t="str">
        <f>HYPERLINK("https://www.onsemi.com/PowerSolutions/product.do?id=NC7WZ07","NC7WZ07")</f>
        <v>NC7WZ07</v>
      </c>
      <c r="C243" t="str">
        <f>HYPERLINK("https://www.onsemi.com/pub/Collateral/NC7WZ07-D.PDF","NC7WZ07/D (184kB)")</f>
        <v>NC7WZ07/D (184kB)</v>
      </c>
      <c r="D243" t="s">
        <v>344</v>
      </c>
      <c r="E243" s="2" t="s">
        <v>23</v>
      </c>
      <c r="F243" t="s">
        <v>14</v>
      </c>
      <c r="H243" s="2" t="s">
        <v>82</v>
      </c>
      <c r="I243" s="2" t="s">
        <v>219</v>
      </c>
      <c r="J243" s="2" t="s">
        <v>127</v>
      </c>
      <c r="K243" s="2" t="s">
        <v>89</v>
      </c>
      <c r="L243" s="2" t="s">
        <v>345</v>
      </c>
      <c r="M243" s="2"/>
      <c r="N243" s="2" t="s">
        <v>143</v>
      </c>
      <c r="O243" s="2" t="s">
        <v>343</v>
      </c>
    </row>
    <row r="244" spans="1:15" ht="25.5">
      <c r="A244" s="5" t="s">
        <v>413</v>
      </c>
      <c r="B244" t="str">
        <f>HYPERLINK("https://www.onsemi.com/PowerSolutions/product.do?id=NC7WZ125","NC7WZ125")</f>
        <v>NC7WZ125</v>
      </c>
      <c r="C244" t="str">
        <f>HYPERLINK("https://www.onsemi.com/pub/Collateral/NC7WZ125-D.PDF","NC7WZ125/D (194kB)")</f>
        <v>NC7WZ125/D (194kB)</v>
      </c>
      <c r="D244" t="s">
        <v>327</v>
      </c>
      <c r="E244" s="2" t="s">
        <v>23</v>
      </c>
      <c r="F244" t="s">
        <v>14</v>
      </c>
      <c r="H244" s="2" t="s">
        <v>82</v>
      </c>
      <c r="I244" s="2" t="s">
        <v>121</v>
      </c>
      <c r="J244" s="2" t="s">
        <v>127</v>
      </c>
      <c r="K244" s="2" t="s">
        <v>89</v>
      </c>
      <c r="L244" s="2" t="s">
        <v>151</v>
      </c>
      <c r="M244" s="2"/>
      <c r="N244" s="2" t="s">
        <v>143</v>
      </c>
      <c r="O244" s="2" t="s">
        <v>292</v>
      </c>
    </row>
    <row r="245" spans="1:15" ht="25.5">
      <c r="A245" s="5" t="s">
        <v>413</v>
      </c>
      <c r="B245" t="str">
        <f>HYPERLINK("https://www.onsemi.com/PowerSolutions/product.do?id=NC7WZ126","NC7WZ126")</f>
        <v>NC7WZ126</v>
      </c>
      <c r="C245" t="str">
        <f>HYPERLINK("https://www.onsemi.com/pub/Collateral/NC7WZ126-D.PDF","NC7WZ126/D (193kB)")</f>
        <v>NC7WZ126/D (193kB)</v>
      </c>
      <c r="D245" t="s">
        <v>327</v>
      </c>
      <c r="E245" s="2" t="s">
        <v>23</v>
      </c>
      <c r="F245" t="s">
        <v>14</v>
      </c>
      <c r="H245" s="2" t="s">
        <v>82</v>
      </c>
      <c r="I245" s="2" t="s">
        <v>121</v>
      </c>
      <c r="J245" s="2" t="s">
        <v>127</v>
      </c>
      <c r="K245" s="2" t="s">
        <v>89</v>
      </c>
      <c r="L245" s="2" t="s">
        <v>151</v>
      </c>
      <c r="M245" s="2"/>
      <c r="N245" s="2" t="s">
        <v>143</v>
      </c>
      <c r="O245" s="2" t="s">
        <v>292</v>
      </c>
    </row>
    <row r="246" spans="1:15" ht="51">
      <c r="A246" s="5" t="s">
        <v>413</v>
      </c>
      <c r="B246" t="str">
        <f>HYPERLINK("https://www.onsemi.com/PowerSolutions/product.do?id=NC7WZ14","NC7WZ14")</f>
        <v>NC7WZ14</v>
      </c>
      <c r="C246" t="str">
        <f>HYPERLINK("https://www.onsemi.com/pub/Collateral/NC7WZ14-D.PDF","NC7WZ14/D (132kB)")</f>
        <v>NC7WZ14/D (132kB)</v>
      </c>
      <c r="D246" t="s">
        <v>346</v>
      </c>
      <c r="E246" s="2" t="s">
        <v>23</v>
      </c>
      <c r="F246" t="s">
        <v>14</v>
      </c>
      <c r="H246" s="2" t="s">
        <v>82</v>
      </c>
      <c r="I246" s="2" t="s">
        <v>117</v>
      </c>
      <c r="J246" s="2" t="s">
        <v>127</v>
      </c>
      <c r="K246" s="2" t="s">
        <v>89</v>
      </c>
      <c r="L246" s="2" t="s">
        <v>347</v>
      </c>
      <c r="M246" s="2"/>
      <c r="N246" s="2" t="s">
        <v>143</v>
      </c>
      <c r="O246" s="2" t="s">
        <v>343</v>
      </c>
    </row>
    <row r="247" spans="1:15" ht="51">
      <c r="A247" s="5" t="s">
        <v>413</v>
      </c>
      <c r="B247" t="str">
        <f>HYPERLINK("https://www.onsemi.com/PowerSolutions/product.do?id=NC7WZ16","NC7WZ16")</f>
        <v>NC7WZ16</v>
      </c>
      <c r="C247" t="str">
        <f>HYPERLINK("https://www.onsemi.com/pub/Collateral/NC7WZ16-D.PDF","NC7WZ16/D (121kB)")</f>
        <v>NC7WZ16/D (121kB)</v>
      </c>
      <c r="D247" t="s">
        <v>348</v>
      </c>
      <c r="E247" s="2" t="s">
        <v>23</v>
      </c>
      <c r="F247" t="s">
        <v>14</v>
      </c>
      <c r="H247" s="2" t="s">
        <v>82</v>
      </c>
      <c r="I247" s="2" t="s">
        <v>117</v>
      </c>
      <c r="J247" s="2" t="s">
        <v>127</v>
      </c>
      <c r="K247" s="2" t="s">
        <v>89</v>
      </c>
      <c r="L247" s="2" t="s">
        <v>142</v>
      </c>
      <c r="M247" s="2"/>
      <c r="N247" s="2" t="s">
        <v>143</v>
      </c>
      <c r="O247" s="2" t="s">
        <v>343</v>
      </c>
    </row>
    <row r="248" spans="1:15" ht="51">
      <c r="A248" s="5" t="s">
        <v>413</v>
      </c>
      <c r="B248" t="str">
        <f>HYPERLINK("https://www.onsemi.com/PowerSolutions/product.do?id=NC7WZ17","NC7WZ17")</f>
        <v>NC7WZ17</v>
      </c>
      <c r="C248" t="str">
        <f>HYPERLINK("https://www.onsemi.com/pub/Collateral/NC7WZ17-D.PDF","NC7WZ17/D (129kB)")</f>
        <v>NC7WZ17/D (129kB)</v>
      </c>
      <c r="D248" t="s">
        <v>349</v>
      </c>
      <c r="E248" s="2" t="s">
        <v>23</v>
      </c>
      <c r="F248" t="s">
        <v>14</v>
      </c>
      <c r="H248" s="2" t="s">
        <v>82</v>
      </c>
      <c r="I248" s="2" t="s">
        <v>117</v>
      </c>
      <c r="J248" s="2" t="s">
        <v>127</v>
      </c>
      <c r="K248" s="2" t="s">
        <v>89</v>
      </c>
      <c r="L248" s="2" t="s">
        <v>131</v>
      </c>
      <c r="M248" s="2"/>
      <c r="N248" s="2" t="s">
        <v>143</v>
      </c>
      <c r="O248" s="2" t="s">
        <v>343</v>
      </c>
    </row>
    <row r="249" spans="1:15" ht="25.5">
      <c r="A249" s="5" t="s">
        <v>413</v>
      </c>
      <c r="B249" t="str">
        <f>HYPERLINK("https://www.onsemi.com/PowerSolutions/product.do?id=NC7WZ240","NC7WZ240")</f>
        <v>NC7WZ240</v>
      </c>
      <c r="C249" t="str">
        <f>HYPERLINK("https://www.onsemi.com/pub/Collateral/NC7WZ240-D.PDF","NC7WZ240/D (195kB)")</f>
        <v>NC7WZ240/D (195kB)</v>
      </c>
      <c r="D249" t="s">
        <v>350</v>
      </c>
      <c r="E249" s="2" t="s">
        <v>23</v>
      </c>
      <c r="F249" t="s">
        <v>14</v>
      </c>
      <c r="H249" s="2" t="s">
        <v>82</v>
      </c>
      <c r="I249" s="2" t="s">
        <v>121</v>
      </c>
      <c r="J249" s="2" t="s">
        <v>127</v>
      </c>
      <c r="K249" s="2" t="s">
        <v>89</v>
      </c>
      <c r="L249" s="2" t="s">
        <v>151</v>
      </c>
      <c r="M249" s="2"/>
      <c r="N249" s="2" t="s">
        <v>143</v>
      </c>
      <c r="O249" s="2" t="s">
        <v>292</v>
      </c>
    </row>
    <row r="250" spans="1:15" ht="25.5">
      <c r="A250" s="5" t="s">
        <v>413</v>
      </c>
      <c r="B250" t="str">
        <f>HYPERLINK("https://www.onsemi.com/PowerSolutions/product.do?id=NC7WZ241","NC7WZ241")</f>
        <v>NC7WZ241</v>
      </c>
      <c r="C250" t="str">
        <f>HYPERLINK("https://www.onsemi.com/pub/Collateral/NC7WZ241-D.PDF","NC7WZ241/D (194kB)")</f>
        <v>NC7WZ241/D (194kB)</v>
      </c>
      <c r="D250" t="s">
        <v>351</v>
      </c>
      <c r="E250" s="2" t="s">
        <v>23</v>
      </c>
      <c r="F250" t="s">
        <v>14</v>
      </c>
      <c r="H250" s="2" t="s">
        <v>82</v>
      </c>
      <c r="I250" s="2" t="s">
        <v>121</v>
      </c>
      <c r="J250" s="2" t="s">
        <v>127</v>
      </c>
      <c r="K250" s="2" t="s">
        <v>89</v>
      </c>
      <c r="L250" s="2" t="s">
        <v>151</v>
      </c>
      <c r="M250" s="2"/>
      <c r="N250" s="2" t="s">
        <v>143</v>
      </c>
      <c r="O250" s="2" t="s">
        <v>292</v>
      </c>
    </row>
    <row r="251" spans="1:15" ht="38.25">
      <c r="A251" s="5" t="s">
        <v>413</v>
      </c>
      <c r="B251" t="str">
        <f>HYPERLINK("https://www.onsemi.com/PowerSolutions/product.do?id=NC7WZU04","NC7WZU04")</f>
        <v>NC7WZU04</v>
      </c>
      <c r="C251" t="str">
        <f>HYPERLINK("https://www.onsemi.com/pub/Collateral/NC7WZU04-D.PDF","NC7WZU04/D (127kB)")</f>
        <v>NC7WZU04/D (127kB)</v>
      </c>
      <c r="D251" t="s">
        <v>352</v>
      </c>
      <c r="E251" s="2" t="s">
        <v>23</v>
      </c>
      <c r="F251" t="s">
        <v>14</v>
      </c>
      <c r="H251" s="2" t="s">
        <v>82</v>
      </c>
      <c r="I251" s="2" t="s">
        <v>117</v>
      </c>
      <c r="J251" s="2" t="s">
        <v>353</v>
      </c>
      <c r="K251" s="2" t="s">
        <v>89</v>
      </c>
      <c r="L251" s="2" t="s">
        <v>354</v>
      </c>
      <c r="M251" s="2"/>
      <c r="N251" s="2" t="s">
        <v>68</v>
      </c>
      <c r="O251" s="2" t="s">
        <v>333</v>
      </c>
    </row>
    <row r="252" spans="1:15" ht="38.25">
      <c r="A252" s="5" t="s">
        <v>413</v>
      </c>
      <c r="B252" t="str">
        <f>HYPERLINK("https://www.onsemi.com/PowerSolutions/product.do?id=NL17SG04","NL17SG04")</f>
        <v>NL17SG04</v>
      </c>
      <c r="C252" t="str">
        <f>HYPERLINK("https://www.onsemi.com/pub/Collateral/NL17SG04-D.PDF","NL17SG04/D (86kB)")</f>
        <v>NL17SG04/D (86kB)</v>
      </c>
      <c r="D252" t="s">
        <v>114</v>
      </c>
      <c r="E252" s="2" t="s">
        <v>355</v>
      </c>
      <c r="F252" t="s">
        <v>14</v>
      </c>
      <c r="H252" s="2" t="s">
        <v>116</v>
      </c>
      <c r="I252" s="2" t="s">
        <v>117</v>
      </c>
      <c r="J252" s="2" t="s">
        <v>130</v>
      </c>
      <c r="K252" s="2" t="s">
        <v>356</v>
      </c>
      <c r="L252" s="2" t="s">
        <v>159</v>
      </c>
      <c r="M252" s="2"/>
      <c r="N252" s="2" t="s">
        <v>68</v>
      </c>
      <c r="O252" s="2" t="s">
        <v>357</v>
      </c>
    </row>
    <row r="253" spans="1:15" ht="38.25">
      <c r="A253" s="5" t="s">
        <v>413</v>
      </c>
      <c r="B253" t="str">
        <f>HYPERLINK("https://www.onsemi.com/PowerSolutions/product.do?id=NL17SG07","NL17SG07")</f>
        <v>NL17SG07</v>
      </c>
      <c r="C253" t="str">
        <f>HYPERLINK("https://www.onsemi.com/pub/Collateral/NL17SG07-D.PDF","NL17SG07/D (249kB)")</f>
        <v>NL17SG07/D (249kB)</v>
      </c>
      <c r="D253" t="s">
        <v>358</v>
      </c>
      <c r="E253" s="2" t="s">
        <v>355</v>
      </c>
      <c r="F253" t="s">
        <v>14</v>
      </c>
      <c r="H253" s="2" t="s">
        <v>116</v>
      </c>
      <c r="I253" s="2" t="s">
        <v>219</v>
      </c>
      <c r="J253" s="2" t="s">
        <v>130</v>
      </c>
      <c r="K253" s="2" t="s">
        <v>131</v>
      </c>
      <c r="L253" s="2" t="s">
        <v>359</v>
      </c>
      <c r="M253" s="2"/>
      <c r="N253" s="2" t="s">
        <v>232</v>
      </c>
      <c r="O253" s="2" t="s">
        <v>357</v>
      </c>
    </row>
    <row r="254" spans="1:15" ht="25.5">
      <c r="A254" s="5" t="s">
        <v>413</v>
      </c>
      <c r="B254" t="str">
        <f>HYPERLINK("https://www.onsemi.com/PowerSolutions/product.do?id=NL17SG07E","NL17SG07E")</f>
        <v>NL17SG07E</v>
      </c>
      <c r="C254" t="str">
        <f>HYPERLINK("https://www.onsemi.com/pub/Collateral/NL17SG07E-D.PDF","NL17SG07E/D (67kB)")</f>
        <v>NL17SG07E/D (67kB)</v>
      </c>
      <c r="D254" t="s">
        <v>360</v>
      </c>
      <c r="E254" s="2" t="s">
        <v>23</v>
      </c>
      <c r="F254" t="s">
        <v>14</v>
      </c>
      <c r="H254" s="2" t="s">
        <v>116</v>
      </c>
      <c r="I254" s="2" t="s">
        <v>219</v>
      </c>
      <c r="J254" s="2" t="s">
        <v>130</v>
      </c>
      <c r="K254" s="2" t="s">
        <v>131</v>
      </c>
      <c r="L254" s="2" t="s">
        <v>359</v>
      </c>
      <c r="M254" s="2"/>
      <c r="N254" s="2" t="s">
        <v>232</v>
      </c>
      <c r="O254" s="2" t="s">
        <v>132</v>
      </c>
    </row>
    <row r="255" spans="1:15" ht="25.5">
      <c r="A255" s="5" t="s">
        <v>413</v>
      </c>
      <c r="B255" t="str">
        <f>HYPERLINK("https://www.onsemi.com/PowerSolutions/product.do?id=NL17SG125","NL17SG125")</f>
        <v>NL17SG125</v>
      </c>
      <c r="C255" t="str">
        <f>HYPERLINK("https://www.onsemi.com/pub/Collateral/NL17SG125-D.PDF","NL17SG125/D (150kB)")</f>
        <v>NL17SG125/D (150kB)</v>
      </c>
      <c r="D255" t="s">
        <v>361</v>
      </c>
      <c r="E255" s="2" t="s">
        <v>23</v>
      </c>
      <c r="F255" t="s">
        <v>14</v>
      </c>
      <c r="H255" s="2" t="s">
        <v>116</v>
      </c>
      <c r="I255" s="2" t="s">
        <v>121</v>
      </c>
      <c r="J255" s="2" t="s">
        <v>130</v>
      </c>
      <c r="K255" s="2" t="s">
        <v>131</v>
      </c>
      <c r="L255" s="2" t="s">
        <v>216</v>
      </c>
      <c r="M255" s="2"/>
      <c r="N255" s="2" t="s">
        <v>16</v>
      </c>
      <c r="O255" s="2" t="s">
        <v>362</v>
      </c>
    </row>
    <row r="256" spans="1:15" ht="25.5">
      <c r="A256" s="5" t="s">
        <v>413</v>
      </c>
      <c r="B256" t="str">
        <f>HYPERLINK("https://www.onsemi.com/PowerSolutions/product.do?id=NL17SG126","NL17SG126")</f>
        <v>NL17SG126</v>
      </c>
      <c r="C256" t="str">
        <f>HYPERLINK("https://www.onsemi.com/pub/Collateral/NL17SG126-D.PDF","NL17SG126/D (121kB)")</f>
        <v>NL17SG126/D (121kB)</v>
      </c>
      <c r="D256" t="s">
        <v>363</v>
      </c>
      <c r="E256" s="2" t="s">
        <v>23</v>
      </c>
      <c r="F256" t="s">
        <v>14</v>
      </c>
      <c r="H256" s="2" t="s">
        <v>116</v>
      </c>
      <c r="I256" s="2" t="s">
        <v>121</v>
      </c>
      <c r="J256" s="2" t="s">
        <v>130</v>
      </c>
      <c r="K256" s="2" t="s">
        <v>131</v>
      </c>
      <c r="L256" s="2" t="s">
        <v>216</v>
      </c>
      <c r="M256" s="2"/>
      <c r="N256" s="2" t="s">
        <v>68</v>
      </c>
      <c r="O256" s="2" t="s">
        <v>362</v>
      </c>
    </row>
    <row r="257" spans="1:15" ht="51">
      <c r="A257" s="5" t="s">
        <v>413</v>
      </c>
      <c r="B257" t="str">
        <f>HYPERLINK("https://www.onsemi.com/PowerSolutions/product.do?id=NL17SG17","NL17SG17")</f>
        <v>NL17SG17</v>
      </c>
      <c r="C257" t="str">
        <f>HYPERLINK("https://www.onsemi.com/pub/Collateral/NL17SG17-D.PDF","NL17SG17/D (89kB)")</f>
        <v>NL17SG17/D (89kB)</v>
      </c>
      <c r="D257" t="s">
        <v>364</v>
      </c>
      <c r="E257" s="2" t="s">
        <v>365</v>
      </c>
      <c r="F257" t="s">
        <v>14</v>
      </c>
      <c r="H257" s="2" t="s">
        <v>116</v>
      </c>
      <c r="I257" s="2" t="s">
        <v>117</v>
      </c>
      <c r="J257" s="2" t="s">
        <v>130</v>
      </c>
      <c r="K257" s="2" t="s">
        <v>131</v>
      </c>
      <c r="L257" s="2" t="s">
        <v>237</v>
      </c>
      <c r="M257" s="2"/>
      <c r="N257" s="2" t="s">
        <v>68</v>
      </c>
      <c r="O257" s="2" t="s">
        <v>357</v>
      </c>
    </row>
    <row r="258" spans="1:15" ht="38.25">
      <c r="A258" s="5" t="s">
        <v>413</v>
      </c>
      <c r="B258" t="str">
        <f>HYPERLINK("https://www.onsemi.com/PowerSolutions/product.do?id=NL17SG34","NL17SG34")</f>
        <v>NL17SG34</v>
      </c>
      <c r="C258" t="str">
        <f>HYPERLINK("https://www.onsemi.com/pub/Collateral/NL17SG34-D.PDF","NL17SG34/D (137kB)")</f>
        <v>NL17SG34/D (137kB)</v>
      </c>
      <c r="D258" t="s">
        <v>366</v>
      </c>
      <c r="E258" s="2" t="s">
        <v>355</v>
      </c>
      <c r="F258" t="s">
        <v>14</v>
      </c>
      <c r="H258" s="2" t="s">
        <v>116</v>
      </c>
      <c r="I258" s="2" t="s">
        <v>117</v>
      </c>
      <c r="J258" s="2" t="s">
        <v>130</v>
      </c>
      <c r="K258" s="2" t="s">
        <v>131</v>
      </c>
      <c r="L258" s="2" t="s">
        <v>159</v>
      </c>
      <c r="M258" s="2"/>
      <c r="N258" s="2" t="s">
        <v>68</v>
      </c>
      <c r="O258" s="2" t="s">
        <v>357</v>
      </c>
    </row>
    <row r="259" spans="1:15" ht="25.5">
      <c r="A259" s="5" t="s">
        <v>413</v>
      </c>
      <c r="B259" t="str">
        <f>HYPERLINK("https://www.onsemi.com/PowerSolutions/product.do?id=NL17SH125","NL17SH125")</f>
        <v>NL17SH125</v>
      </c>
      <c r="C259" t="str">
        <f>HYPERLINK("https://www.onsemi.com/pub/Collateral/NL17SH125-D.PDF","NL17SH125/D (96.0kB)")</f>
        <v>NL17SH125/D (96.0kB)</v>
      </c>
      <c r="D259" t="s">
        <v>367</v>
      </c>
      <c r="E259" s="2" t="s">
        <v>23</v>
      </c>
      <c r="F259" t="s">
        <v>14</v>
      </c>
      <c r="H259" s="2" t="s">
        <v>116</v>
      </c>
      <c r="I259" s="2" t="s">
        <v>121</v>
      </c>
      <c r="J259" s="2" t="s">
        <v>127</v>
      </c>
      <c r="K259" s="2" t="s">
        <v>89</v>
      </c>
      <c r="L259" s="2" t="s">
        <v>226</v>
      </c>
      <c r="M259" s="2"/>
      <c r="N259" s="2" t="s">
        <v>68</v>
      </c>
      <c r="O259" s="2" t="s">
        <v>368</v>
      </c>
    </row>
    <row r="260" spans="1:15" ht="25.5">
      <c r="A260" s="5" t="s">
        <v>413</v>
      </c>
      <c r="B260" t="str">
        <f>HYPERLINK("https://www.onsemi.com/PowerSolutions/product.do?id=NL17SH126","NL17SH126")</f>
        <v>NL17SH126</v>
      </c>
      <c r="C260" t="str">
        <f>HYPERLINK("https://www.onsemi.com/pub/Collateral/NL17SH126-D.PDF","NL17SH126/D (104.0kB)")</f>
        <v>NL17SH126/D (104.0kB)</v>
      </c>
      <c r="D260" t="s">
        <v>369</v>
      </c>
      <c r="E260" s="2" t="s">
        <v>23</v>
      </c>
      <c r="F260" t="s">
        <v>14</v>
      </c>
      <c r="H260" s="2" t="s">
        <v>116</v>
      </c>
      <c r="I260" s="2" t="s">
        <v>121</v>
      </c>
      <c r="J260" s="2" t="s">
        <v>89</v>
      </c>
      <c r="K260" s="2" t="s">
        <v>82</v>
      </c>
      <c r="L260" s="2" t="s">
        <v>207</v>
      </c>
      <c r="M260" s="2"/>
      <c r="N260" s="2" t="s">
        <v>68</v>
      </c>
      <c r="O260" s="2" t="s">
        <v>368</v>
      </c>
    </row>
    <row r="261" spans="1:15" ht="25.5">
      <c r="A261" s="5" t="s">
        <v>413</v>
      </c>
      <c r="B261" t="str">
        <f>HYPERLINK("https://www.onsemi.com/PowerSolutions/product.do?id=NL17SH17","NL17SH17")</f>
        <v>NL17SH17</v>
      </c>
      <c r="C261" t="str">
        <f>HYPERLINK("https://www.onsemi.com/pub/Collateral/NL17SH17-D.PDF","NL17SH17/D (96.0kB)")</f>
        <v>NL17SH17/D (96.0kB)</v>
      </c>
      <c r="D261" t="s">
        <v>370</v>
      </c>
      <c r="E261" s="2" t="s">
        <v>23</v>
      </c>
      <c r="F261" t="s">
        <v>14</v>
      </c>
      <c r="H261" s="2" t="s">
        <v>116</v>
      </c>
      <c r="I261" s="2" t="s">
        <v>117</v>
      </c>
      <c r="J261" s="2" t="s">
        <v>127</v>
      </c>
      <c r="K261" s="2" t="s">
        <v>89</v>
      </c>
      <c r="L261" s="2" t="s">
        <v>371</v>
      </c>
      <c r="M261" s="2"/>
      <c r="N261" s="2" t="s">
        <v>108</v>
      </c>
      <c r="O261" s="2" t="s">
        <v>368</v>
      </c>
    </row>
    <row r="262" spans="1:15" ht="25.5">
      <c r="A262" s="5" t="s">
        <v>413</v>
      </c>
      <c r="B262" t="str">
        <f>HYPERLINK("https://www.onsemi.com/PowerSolutions/product.do?id=NL17SH34","NL17SH34")</f>
        <v>NL17SH34</v>
      </c>
      <c r="C262" t="str">
        <f>HYPERLINK("https://www.onsemi.com/pub/Collateral/NL17SH34-D.PDF","NL17SH34/D (90.0kB)")</f>
        <v>NL17SH34/D (90.0kB)</v>
      </c>
      <c r="D262" t="s">
        <v>366</v>
      </c>
      <c r="E262" s="2" t="s">
        <v>23</v>
      </c>
      <c r="F262" t="s">
        <v>14</v>
      </c>
      <c r="H262" s="2" t="s">
        <v>116</v>
      </c>
      <c r="I262" s="2" t="s">
        <v>117</v>
      </c>
      <c r="J262" s="2" t="s">
        <v>127</v>
      </c>
      <c r="K262" s="2" t="s">
        <v>89</v>
      </c>
      <c r="L262" s="2" t="s">
        <v>263</v>
      </c>
      <c r="M262" s="2"/>
      <c r="N262" s="2" t="s">
        <v>68</v>
      </c>
      <c r="O262" s="2" t="s">
        <v>368</v>
      </c>
    </row>
    <row r="263" spans="1:15" ht="25.5">
      <c r="A263" s="5" t="s">
        <v>413</v>
      </c>
      <c r="B263" t="str">
        <f>HYPERLINK("https://www.onsemi.com/PowerSolutions/product.do?id=NL17SHT126","NL17SHT126")</f>
        <v>NL17SHT126</v>
      </c>
      <c r="C263" t="str">
        <f>HYPERLINK("https://www.onsemi.com/pub/Collateral/NL17SHT126-D.PDF","NL17SHT126/D (102.0kB)")</f>
        <v>NL17SHT126/D (102.0kB)</v>
      </c>
      <c r="D263" t="s">
        <v>372</v>
      </c>
      <c r="E263" s="2" t="s">
        <v>23</v>
      </c>
      <c r="F263" t="s">
        <v>14</v>
      </c>
      <c r="H263" s="2" t="s">
        <v>116</v>
      </c>
      <c r="I263" s="2" t="s">
        <v>121</v>
      </c>
      <c r="J263" s="2" t="s">
        <v>16</v>
      </c>
      <c r="K263" s="2" t="s">
        <v>89</v>
      </c>
      <c r="L263" s="2" t="s">
        <v>226</v>
      </c>
      <c r="M263" s="2"/>
      <c r="N263" s="2" t="s">
        <v>68</v>
      </c>
      <c r="O263" s="2" t="s">
        <v>368</v>
      </c>
    </row>
    <row r="264" spans="1:15" ht="25.5">
      <c r="A264" s="5" t="s">
        <v>413</v>
      </c>
      <c r="B264" t="str">
        <f>HYPERLINK("https://www.onsemi.com/PowerSolutions/product.do?id=NL17SV16","NL17SV16")</f>
        <v>NL17SV16</v>
      </c>
      <c r="C264" t="str">
        <f>HYPERLINK("https://www.onsemi.com/pub/Collateral/NL17SV16-D.PDF","NL17SV16/D (81kB)")</f>
        <v>NL17SV16/D (81kB)</v>
      </c>
      <c r="D264" t="s">
        <v>123</v>
      </c>
      <c r="E264" s="2" t="s">
        <v>23</v>
      </c>
      <c r="F264" t="s">
        <v>14</v>
      </c>
      <c r="H264" s="2" t="s">
        <v>116</v>
      </c>
      <c r="I264" s="2" t="s">
        <v>117</v>
      </c>
      <c r="J264" s="2" t="s">
        <v>130</v>
      </c>
      <c r="K264" s="2" t="s">
        <v>356</v>
      </c>
      <c r="L264" s="2" t="s">
        <v>316</v>
      </c>
      <c r="M264" s="2"/>
      <c r="N264" s="2" t="s">
        <v>373</v>
      </c>
      <c r="O264" s="2" t="s">
        <v>374</v>
      </c>
    </row>
    <row r="265" spans="1:15" ht="25.5">
      <c r="A265" s="5" t="s">
        <v>413</v>
      </c>
      <c r="B265" t="str">
        <f>HYPERLINK("https://www.onsemi.com/PowerSolutions/product.do?id=NL17SZ05","NL17SZ05")</f>
        <v>NL17SZ05</v>
      </c>
      <c r="C265" t="str">
        <f>HYPERLINK("https://www.onsemi.com/pub/Collateral/NL17SZ05-D.PDF","NL17SZ05/D (181kB)")</f>
        <v>NL17SZ05/D (181kB)</v>
      </c>
      <c r="D265" t="s">
        <v>375</v>
      </c>
      <c r="E265" s="2" t="s">
        <v>23</v>
      </c>
      <c r="F265" t="s">
        <v>14</v>
      </c>
      <c r="H265" s="2" t="s">
        <v>116</v>
      </c>
      <c r="I265" s="2" t="s">
        <v>219</v>
      </c>
      <c r="J265" s="2" t="s">
        <v>127</v>
      </c>
      <c r="K265" s="2" t="s">
        <v>89</v>
      </c>
      <c r="L265" s="2" t="s">
        <v>16</v>
      </c>
      <c r="M265" s="2"/>
      <c r="N265" s="2" t="s">
        <v>86</v>
      </c>
      <c r="O265" s="2" t="s">
        <v>376</v>
      </c>
    </row>
    <row r="266" spans="1:15" ht="38.25">
      <c r="A266" s="5" t="s">
        <v>413</v>
      </c>
      <c r="B266" t="str">
        <f>HYPERLINK("https://www.onsemi.com/PowerSolutions/product.do?id=NL17SZ06","NL17SZ06")</f>
        <v>NL17SZ06</v>
      </c>
      <c r="C266" t="str">
        <f>HYPERLINK("https://www.onsemi.com/pub/Collateral/NL17SZ06-D.PDF","NL17SZ06/D (184kB)")</f>
        <v>NL17SZ06/D (184kB)</v>
      </c>
      <c r="D266" t="s">
        <v>267</v>
      </c>
      <c r="E266" s="2" t="s">
        <v>23</v>
      </c>
      <c r="F266" t="s">
        <v>14</v>
      </c>
      <c r="H266" s="2" t="s">
        <v>116</v>
      </c>
      <c r="I266" s="2" t="s">
        <v>219</v>
      </c>
      <c r="J266" s="2" t="s">
        <v>127</v>
      </c>
      <c r="K266" s="2" t="s">
        <v>89</v>
      </c>
      <c r="L266" s="2" t="s">
        <v>16</v>
      </c>
      <c r="M266" s="2"/>
      <c r="N266" s="2" t="s">
        <v>86</v>
      </c>
      <c r="O266" s="2" t="s">
        <v>377</v>
      </c>
    </row>
    <row r="267" spans="1:15" ht="51">
      <c r="A267" s="5" t="s">
        <v>413</v>
      </c>
      <c r="B267" t="str">
        <f>HYPERLINK("https://www.onsemi.com/PowerSolutions/product.do?id=NL17SZ07","NL17SZ07")</f>
        <v>NL17SZ07</v>
      </c>
      <c r="C267" t="str">
        <f>HYPERLINK("https://www.onsemi.com/pub/Collateral/NL17SZ07-D.PDF","NL17SZ07/D (185kB)")</f>
        <v>NL17SZ07/D (185kB)</v>
      </c>
      <c r="D267" t="s">
        <v>268</v>
      </c>
      <c r="E267" s="2" t="s">
        <v>23</v>
      </c>
      <c r="F267" t="s">
        <v>14</v>
      </c>
      <c r="H267" s="2" t="s">
        <v>116</v>
      </c>
      <c r="I267" s="2" t="s">
        <v>219</v>
      </c>
      <c r="J267" s="2" t="s">
        <v>127</v>
      </c>
      <c r="K267" s="2" t="s">
        <v>89</v>
      </c>
      <c r="L267" s="2" t="s">
        <v>207</v>
      </c>
      <c r="M267" s="2"/>
      <c r="N267" s="2" t="s">
        <v>86</v>
      </c>
      <c r="O267" s="2" t="s">
        <v>378</v>
      </c>
    </row>
    <row r="268" spans="1:15" ht="51">
      <c r="A268" s="5" t="s">
        <v>413</v>
      </c>
      <c r="B268" t="str">
        <f>HYPERLINK("https://www.onsemi.com/PowerSolutions/product.do?id=NL17SZ126","NL17SZ126")</f>
        <v>NL17SZ126</v>
      </c>
      <c r="C268" t="str">
        <f>HYPERLINK("https://www.onsemi.com/pub/Collateral/NL17SZ126-D.PDF","NL17SZ126/D (186kB)")</f>
        <v>NL17SZ126/D (186kB)</v>
      </c>
      <c r="D268" t="s">
        <v>122</v>
      </c>
      <c r="E268" s="2" t="s">
        <v>13</v>
      </c>
      <c r="F268" t="s">
        <v>14</v>
      </c>
      <c r="H268" s="2" t="s">
        <v>116</v>
      </c>
      <c r="I268" s="2" t="s">
        <v>121</v>
      </c>
      <c r="J268" s="2" t="s">
        <v>127</v>
      </c>
      <c r="K268" s="2" t="s">
        <v>89</v>
      </c>
      <c r="L268" s="2" t="s">
        <v>151</v>
      </c>
      <c r="M268" s="2"/>
      <c r="N268" s="2" t="s">
        <v>86</v>
      </c>
      <c r="O268" s="2" t="s">
        <v>378</v>
      </c>
    </row>
    <row r="269" spans="1:15" ht="51">
      <c r="A269" s="5" t="s">
        <v>413</v>
      </c>
      <c r="B269" t="str">
        <f>HYPERLINK("https://www.onsemi.com/PowerSolutions/product.do?id=NL17SZ14","NL17SZ14")</f>
        <v>NL17SZ14</v>
      </c>
      <c r="C269" t="str">
        <f>HYPERLINK("https://www.onsemi.com/pub/Collateral/NL17SZ14-D.PDF","NL17SZ14/D (186kB)")</f>
        <v>NL17SZ14/D (186kB)</v>
      </c>
      <c r="D269" t="s">
        <v>379</v>
      </c>
      <c r="E269" s="2" t="s">
        <v>13</v>
      </c>
      <c r="F269" t="s">
        <v>14</v>
      </c>
      <c r="H269" s="2" t="s">
        <v>116</v>
      </c>
      <c r="I269" s="2" t="s">
        <v>117</v>
      </c>
      <c r="J269" s="2" t="s">
        <v>127</v>
      </c>
      <c r="K269" s="2" t="s">
        <v>89</v>
      </c>
      <c r="L269" s="2" t="s">
        <v>210</v>
      </c>
      <c r="M269" s="2"/>
      <c r="N269" s="2" t="s">
        <v>86</v>
      </c>
      <c r="O269" s="2" t="s">
        <v>378</v>
      </c>
    </row>
    <row r="270" spans="1:15" ht="38.25">
      <c r="A270" s="5" t="s">
        <v>413</v>
      </c>
      <c r="B270" t="str">
        <f>HYPERLINK("https://www.onsemi.com/PowerSolutions/product.do?id=NL17SZ16","NL17SZ16")</f>
        <v>NL17SZ16</v>
      </c>
      <c r="C270" t="str">
        <f>HYPERLINK("https://www.onsemi.com/pub/Collateral/NL17SZ16-D.PDF","NL17SZ16/D (182kB)")</f>
        <v>NL17SZ16/D (182kB)</v>
      </c>
      <c r="D270" t="s">
        <v>366</v>
      </c>
      <c r="E270" s="2" t="s">
        <v>23</v>
      </c>
      <c r="F270" t="s">
        <v>14</v>
      </c>
      <c r="H270" s="2" t="s">
        <v>116</v>
      </c>
      <c r="I270" s="2" t="s">
        <v>117</v>
      </c>
      <c r="J270" s="2" t="s">
        <v>127</v>
      </c>
      <c r="K270" s="2" t="s">
        <v>89</v>
      </c>
      <c r="L270" s="2" t="s">
        <v>380</v>
      </c>
      <c r="M270" s="2"/>
      <c r="N270" s="2" t="s">
        <v>86</v>
      </c>
      <c r="O270" s="2" t="s">
        <v>377</v>
      </c>
    </row>
    <row r="271" spans="1:15" ht="51">
      <c r="A271" s="5" t="s">
        <v>413</v>
      </c>
      <c r="B271" t="str">
        <f>HYPERLINK("https://www.onsemi.com/PowerSolutions/product.do?id=NL17SZ17","NL17SZ17")</f>
        <v>NL17SZ17</v>
      </c>
      <c r="C271" t="str">
        <f>HYPERLINK("https://www.onsemi.com/pub/Collateral/NL17SZ17-D.PDF","NL17SZ17/D (185kB)")</f>
        <v>NL17SZ17/D (185kB)</v>
      </c>
      <c r="D271" t="s">
        <v>381</v>
      </c>
      <c r="E271" s="2" t="s">
        <v>13</v>
      </c>
      <c r="F271" t="s">
        <v>14</v>
      </c>
      <c r="H271" s="2" t="s">
        <v>116</v>
      </c>
      <c r="I271" s="2" t="s">
        <v>117</v>
      </c>
      <c r="J271" s="2" t="s">
        <v>127</v>
      </c>
      <c r="K271" s="2" t="s">
        <v>89</v>
      </c>
      <c r="L271" s="2" t="s">
        <v>210</v>
      </c>
      <c r="M271" s="2"/>
      <c r="N271" s="2" t="s">
        <v>86</v>
      </c>
      <c r="O271" s="2" t="s">
        <v>378</v>
      </c>
    </row>
    <row r="272" spans="1:15" ht="51">
      <c r="A272" s="5" t="s">
        <v>413</v>
      </c>
      <c r="B272" t="str">
        <f>HYPERLINK("https://www.onsemi.com/PowerSolutions/product.do?id=NL17SZ240","NL17SZ240")</f>
        <v>NL17SZ240</v>
      </c>
      <c r="C272" t="str">
        <f>HYPERLINK("https://www.onsemi.com/pub/Collateral/NL17SZ240-D.PDF","NL17SZ240/D (153kB)")</f>
        <v>NL17SZ240/D (153kB)</v>
      </c>
      <c r="D272" t="s">
        <v>382</v>
      </c>
      <c r="E272" s="2" t="s">
        <v>13</v>
      </c>
      <c r="F272" t="s">
        <v>14</v>
      </c>
      <c r="H272" s="2" t="s">
        <v>116</v>
      </c>
      <c r="I272" s="2" t="s">
        <v>121</v>
      </c>
      <c r="J272" s="2" t="s">
        <v>127</v>
      </c>
      <c r="K272" s="2" t="s">
        <v>89</v>
      </c>
      <c r="L272" s="2" t="s">
        <v>359</v>
      </c>
      <c r="M272" s="2"/>
      <c r="N272" s="2" t="s">
        <v>86</v>
      </c>
      <c r="O272" s="2" t="s">
        <v>132</v>
      </c>
    </row>
    <row r="273" spans="1:15" ht="51">
      <c r="A273" s="5" t="s">
        <v>413</v>
      </c>
      <c r="B273" t="str">
        <f>HYPERLINK("https://www.onsemi.com/PowerSolutions/product.do?id=NL17SZU04","NL17SZU04")</f>
        <v>NL17SZU04</v>
      </c>
      <c r="C273" t="str">
        <f>HYPERLINK("https://www.onsemi.com/pub/Collateral/NL17SZU04-D.PDF","NL17SZU04/D (183kB)")</f>
        <v>NL17SZU04/D (183kB)</v>
      </c>
      <c r="D273" t="s">
        <v>383</v>
      </c>
      <c r="E273" s="2" t="s">
        <v>13</v>
      </c>
      <c r="F273" t="s">
        <v>14</v>
      </c>
      <c r="H273" s="2" t="s">
        <v>116</v>
      </c>
      <c r="I273" s="2" t="s">
        <v>117</v>
      </c>
      <c r="J273" s="2" t="s">
        <v>127</v>
      </c>
      <c r="K273" s="2" t="s">
        <v>89</v>
      </c>
      <c r="L273" s="2" t="s">
        <v>89</v>
      </c>
      <c r="M273" s="2"/>
      <c r="N273" s="2" t="s">
        <v>72</v>
      </c>
      <c r="O273" s="2" t="s">
        <v>378</v>
      </c>
    </row>
    <row r="274" spans="1:15" ht="51">
      <c r="A274" s="5" t="s">
        <v>413</v>
      </c>
      <c r="B274" t="str">
        <f>HYPERLINK("https://www.onsemi.com/PowerSolutions/product.do?id=NL27WZ04","NL27WZ04")</f>
        <v>NL27WZ04</v>
      </c>
      <c r="C274" t="str">
        <f>HYPERLINK("https://www.onsemi.com/pub/Collateral/NL27WZ04-D.PDF","NL27WZ04/D (186kB)")</f>
        <v>NL27WZ04/D (186kB)</v>
      </c>
      <c r="D274" t="s">
        <v>384</v>
      </c>
      <c r="E274" s="2" t="s">
        <v>13</v>
      </c>
      <c r="F274" t="s">
        <v>14</v>
      </c>
      <c r="H274" s="2" t="s">
        <v>82</v>
      </c>
      <c r="I274" s="2" t="s">
        <v>117</v>
      </c>
      <c r="J274" s="2" t="s">
        <v>127</v>
      </c>
      <c r="K274" s="2" t="s">
        <v>89</v>
      </c>
      <c r="L274" s="2" t="s">
        <v>131</v>
      </c>
      <c r="M274" s="2"/>
      <c r="N274" s="2" t="s">
        <v>143</v>
      </c>
      <c r="O274" s="2" t="s">
        <v>385</v>
      </c>
    </row>
    <row r="275" spans="1:15" ht="51">
      <c r="A275" s="5" t="s">
        <v>413</v>
      </c>
      <c r="B275" t="str">
        <f>HYPERLINK("https://www.onsemi.com/PowerSolutions/product.do?id=NL27WZ06","NL27WZ06")</f>
        <v>NL27WZ06</v>
      </c>
      <c r="C275" t="str">
        <f>HYPERLINK("https://www.onsemi.com/pub/Collateral/NL27WZ06-D.PDF","NL27WZ06/D (117.0kB)")</f>
        <v>NL27WZ06/D (117.0kB)</v>
      </c>
      <c r="D275" t="s">
        <v>386</v>
      </c>
      <c r="E275" s="2" t="s">
        <v>13</v>
      </c>
      <c r="F275" t="s">
        <v>14</v>
      </c>
      <c r="H275" s="2" t="s">
        <v>82</v>
      </c>
      <c r="I275" s="2" t="s">
        <v>117</v>
      </c>
      <c r="J275" s="2" t="s">
        <v>127</v>
      </c>
      <c r="K275" s="2" t="s">
        <v>89</v>
      </c>
      <c r="L275" s="2" t="s">
        <v>16</v>
      </c>
      <c r="M275" s="2"/>
      <c r="N275" s="2" t="s">
        <v>143</v>
      </c>
      <c r="O275" s="2" t="s">
        <v>385</v>
      </c>
    </row>
    <row r="276" spans="1:15" ht="51">
      <c r="A276" s="5" t="s">
        <v>413</v>
      </c>
      <c r="B276" t="str">
        <f>HYPERLINK("https://www.onsemi.com/PowerSolutions/product.do?id=NL27WZ07","NL27WZ07")</f>
        <v>NL27WZ07</v>
      </c>
      <c r="C276" t="str">
        <f>HYPERLINK("https://www.onsemi.com/pub/Collateral/NL27WZ07-D.PDF","NL27WZ07/D (175kB)")</f>
        <v>NL27WZ07/D (175kB)</v>
      </c>
      <c r="D276" t="s">
        <v>387</v>
      </c>
      <c r="E276" s="2" t="s">
        <v>13</v>
      </c>
      <c r="F276" t="s">
        <v>14</v>
      </c>
      <c r="H276" s="2" t="s">
        <v>82</v>
      </c>
      <c r="I276" s="2" t="s">
        <v>219</v>
      </c>
      <c r="J276" s="2" t="s">
        <v>127</v>
      </c>
      <c r="K276" s="2" t="s">
        <v>89</v>
      </c>
      <c r="L276" s="2" t="s">
        <v>207</v>
      </c>
      <c r="M276" s="2"/>
      <c r="N276" s="2" t="s">
        <v>143</v>
      </c>
      <c r="O276" s="2" t="s">
        <v>385</v>
      </c>
    </row>
    <row r="277" spans="1:15" ht="51">
      <c r="A277" s="5" t="s">
        <v>413</v>
      </c>
      <c r="B277" t="str">
        <f>HYPERLINK("https://www.onsemi.com/PowerSolutions/product.do?id=NL27WZ125","NL27WZ125")</f>
        <v>NL27WZ125</v>
      </c>
      <c r="C277" t="str">
        <f>HYPERLINK("https://www.onsemi.com/pub/Collateral/NL27WZ125-D.PDF","NL27WZ125/D (183kB)")</f>
        <v>NL27WZ125/D (183kB)</v>
      </c>
      <c r="D277" t="s">
        <v>388</v>
      </c>
      <c r="E277" s="2" t="s">
        <v>13</v>
      </c>
      <c r="F277" t="s">
        <v>14</v>
      </c>
      <c r="H277" s="2" t="s">
        <v>82</v>
      </c>
      <c r="I277" s="2" t="s">
        <v>121</v>
      </c>
      <c r="J277" s="2" t="s">
        <v>127</v>
      </c>
      <c r="K277" s="2" t="s">
        <v>89</v>
      </c>
      <c r="L277" s="2" t="s">
        <v>389</v>
      </c>
      <c r="M277" s="2"/>
      <c r="N277" s="2" t="s">
        <v>143</v>
      </c>
      <c r="O277" s="2" t="s">
        <v>337</v>
      </c>
    </row>
    <row r="278" spans="1:15" ht="51">
      <c r="A278" s="5" t="s">
        <v>413</v>
      </c>
      <c r="B278" t="str">
        <f>HYPERLINK("https://www.onsemi.com/PowerSolutions/product.do?id=NL27WZ126","NL27WZ126")</f>
        <v>NL27WZ126</v>
      </c>
      <c r="C278" t="str">
        <f>HYPERLINK("https://www.onsemi.com/pub/Collateral/NL27WZ126-D.PDF","NL27WZ126/D (184kB)")</f>
        <v>NL27WZ126/D (184kB)</v>
      </c>
      <c r="D278" t="s">
        <v>390</v>
      </c>
      <c r="E278" s="2" t="s">
        <v>13</v>
      </c>
      <c r="F278" t="s">
        <v>14</v>
      </c>
      <c r="H278" s="2" t="s">
        <v>82</v>
      </c>
      <c r="I278" s="2" t="s">
        <v>121</v>
      </c>
      <c r="J278" s="2" t="s">
        <v>127</v>
      </c>
      <c r="K278" s="2" t="s">
        <v>89</v>
      </c>
      <c r="L278" s="2" t="s">
        <v>389</v>
      </c>
      <c r="M278" s="2"/>
      <c r="N278" s="2" t="s">
        <v>86</v>
      </c>
      <c r="O278" s="2" t="s">
        <v>337</v>
      </c>
    </row>
    <row r="279" spans="1:15" ht="25.5">
      <c r="A279" s="5" t="s">
        <v>413</v>
      </c>
      <c r="B279" t="str">
        <f>HYPERLINK("https://www.onsemi.com/PowerSolutions/product.do?id=NL37WZ06","NL37WZ06")</f>
        <v>NL37WZ06</v>
      </c>
      <c r="C279" t="str">
        <f>HYPERLINK("https://www.onsemi.com/pub/Collateral/NL37WZ06-D.PDF","NL37WZ06/D (287kB)")</f>
        <v>NL37WZ06/D (287kB)</v>
      </c>
      <c r="D279" t="s">
        <v>391</v>
      </c>
      <c r="E279" s="2" t="s">
        <v>23</v>
      </c>
      <c r="F279" t="s">
        <v>14</v>
      </c>
      <c r="H279" s="2" t="s">
        <v>16</v>
      </c>
      <c r="I279" s="2" t="s">
        <v>117</v>
      </c>
      <c r="J279" s="2" t="s">
        <v>127</v>
      </c>
      <c r="K279" s="2" t="s">
        <v>89</v>
      </c>
      <c r="L279" s="2" t="s">
        <v>16</v>
      </c>
      <c r="M279" s="2"/>
      <c r="N279" s="2" t="s">
        <v>143</v>
      </c>
      <c r="O279" s="2" t="s">
        <v>337</v>
      </c>
    </row>
    <row r="280" spans="1:15" ht="38.25">
      <c r="A280" s="5" t="s">
        <v>413</v>
      </c>
      <c r="B280" t="str">
        <f>HYPERLINK("https://www.onsemi.com/PowerSolutions/product.do?id=NL37WZ07","NL37WZ07")</f>
        <v>NL37WZ07</v>
      </c>
      <c r="C280" t="str">
        <f>HYPERLINK("https://www.onsemi.com/pub/Collateral/NL37WZ07-D.PDF","NL37WZ07/D (102.0kB)")</f>
        <v>NL37WZ07/D (102.0kB)</v>
      </c>
      <c r="D280" t="s">
        <v>392</v>
      </c>
      <c r="E280" s="2" t="s">
        <v>266</v>
      </c>
      <c r="F280" t="s">
        <v>14</v>
      </c>
      <c r="H280" s="2" t="s">
        <v>16</v>
      </c>
      <c r="I280" s="2" t="s">
        <v>219</v>
      </c>
      <c r="J280" s="2" t="s">
        <v>127</v>
      </c>
      <c r="K280" s="2" t="s">
        <v>89</v>
      </c>
      <c r="L280" s="2" t="s">
        <v>207</v>
      </c>
      <c r="M280" s="2"/>
      <c r="N280" s="2" t="s">
        <v>143</v>
      </c>
      <c r="O280" s="2" t="s">
        <v>337</v>
      </c>
    </row>
    <row r="281" spans="1:15" ht="51">
      <c r="A281" s="5" t="s">
        <v>413</v>
      </c>
      <c r="B281" t="str">
        <f>HYPERLINK("https://www.onsemi.com/PowerSolutions/product.do?id=NL37WZ16","NL37WZ16")</f>
        <v>NL37WZ16</v>
      </c>
      <c r="C281" t="str">
        <f>HYPERLINK("https://www.onsemi.com/pub/Collateral/NL37WZ16-D.PDF","NL37WZ16/D (287kB)")</f>
        <v>NL37WZ16/D (287kB)</v>
      </c>
      <c r="D281" t="s">
        <v>393</v>
      </c>
      <c r="E281" s="2" t="s">
        <v>13</v>
      </c>
      <c r="F281" t="s">
        <v>14</v>
      </c>
      <c r="H281" s="2" t="s">
        <v>16</v>
      </c>
      <c r="I281" s="2" t="s">
        <v>117</v>
      </c>
      <c r="J281" s="2" t="s">
        <v>127</v>
      </c>
      <c r="K281" s="2" t="s">
        <v>89</v>
      </c>
      <c r="L281" s="2" t="s">
        <v>82</v>
      </c>
      <c r="M281" s="2"/>
      <c r="N281" s="2" t="s">
        <v>86</v>
      </c>
      <c r="O281" s="2" t="s">
        <v>337</v>
      </c>
    </row>
    <row r="282" spans="1:15" ht="51">
      <c r="A282" s="5" t="s">
        <v>413</v>
      </c>
      <c r="B282" t="str">
        <f>HYPERLINK("https://www.onsemi.com/PowerSolutions/product.do?id=NL37WZ17","NL37WZ17")</f>
        <v>NL37WZ17</v>
      </c>
      <c r="C282" t="str">
        <f>HYPERLINK("https://www.onsemi.com/pub/Collateral/NL37WZ17-D.PDF","NL37WZ17/D (287kB)")</f>
        <v>NL37WZ17/D (287kB)</v>
      </c>
      <c r="D282" t="s">
        <v>394</v>
      </c>
      <c r="E282" s="2" t="s">
        <v>13</v>
      </c>
      <c r="F282" t="s">
        <v>14</v>
      </c>
      <c r="H282" s="2" t="s">
        <v>16</v>
      </c>
      <c r="I282" s="2" t="s">
        <v>117</v>
      </c>
      <c r="J282" s="2" t="s">
        <v>127</v>
      </c>
      <c r="K282" s="2" t="s">
        <v>89</v>
      </c>
      <c r="L282" s="2" t="s">
        <v>395</v>
      </c>
      <c r="M282" s="2"/>
      <c r="N282" s="2" t="s">
        <v>86</v>
      </c>
      <c r="O282" s="2" t="s">
        <v>337</v>
      </c>
    </row>
    <row r="283" spans="1:15" ht="25.5">
      <c r="A283" s="5" t="s">
        <v>413</v>
      </c>
      <c r="B283" t="str">
        <f>HYPERLINK("https://www.onsemi.com/PowerSolutions/product.do?id=NLSF3T125","NLSF3T125")</f>
        <v>NLSF3T125</v>
      </c>
      <c r="C283" t="str">
        <f>HYPERLINK("https://www.onsemi.com/pub/Collateral/NLSF3T125-D.PDF","NLSF3T125/D (115.0kB)")</f>
        <v>NLSF3T125/D (115.0kB)</v>
      </c>
      <c r="D283" t="s">
        <v>396</v>
      </c>
      <c r="E283" s="2" t="s">
        <v>23</v>
      </c>
      <c r="F283" t="s">
        <v>14</v>
      </c>
      <c r="H283" s="2" t="s">
        <v>108</v>
      </c>
      <c r="I283" s="2" t="s">
        <v>121</v>
      </c>
      <c r="J283" s="2" t="s">
        <v>82</v>
      </c>
      <c r="K283" s="2" t="s">
        <v>89</v>
      </c>
      <c r="L283" s="2" t="s">
        <v>89</v>
      </c>
      <c r="M283" s="2"/>
      <c r="N283" s="2" t="s">
        <v>68</v>
      </c>
      <c r="O283" s="2" t="s">
        <v>397</v>
      </c>
    </row>
    <row r="284" spans="1:15" ht="25.5">
      <c r="A284" s="5" t="s">
        <v>413</v>
      </c>
      <c r="B284" t="str">
        <f>HYPERLINK("https://www.onsemi.com/PowerSolutions/product.do?id=NLSF3T126","NLSF3T126")</f>
        <v>NLSF3T126</v>
      </c>
      <c r="C284" t="str">
        <f>HYPERLINK("https://www.onsemi.com/pub/Collateral/NLSF3T126-D.PDF","NLSF3T126/D (86.0kB)")</f>
        <v>NLSF3T126/D (86.0kB)</v>
      </c>
      <c r="D284" t="s">
        <v>396</v>
      </c>
      <c r="E284" s="2" t="s">
        <v>23</v>
      </c>
      <c r="F284" t="s">
        <v>14</v>
      </c>
      <c r="H284" s="2" t="s">
        <v>108</v>
      </c>
      <c r="I284" s="2" t="s">
        <v>121</v>
      </c>
      <c r="J284" s="2" t="s">
        <v>82</v>
      </c>
      <c r="K284" s="2" t="s">
        <v>89</v>
      </c>
      <c r="L284" s="2" t="s">
        <v>118</v>
      </c>
      <c r="M284" s="2"/>
      <c r="N284" s="2" t="s">
        <v>68</v>
      </c>
      <c r="O284" s="2" t="s">
        <v>397</v>
      </c>
    </row>
    <row r="285" spans="1:15" ht="38.25">
      <c r="A285" s="5" t="s">
        <v>413</v>
      </c>
      <c r="B285" t="str">
        <f>HYPERLINK("https://www.onsemi.com/PowerSolutions/product.do?id=NLU1G04","NLU1G04")</f>
        <v>NLU1G04</v>
      </c>
      <c r="C285" t="str">
        <f>HYPERLINK("https://www.onsemi.com/pub/Collateral/NLU1G04-D.PDF","NLU1G04/D (137kB)")</f>
        <v>NLU1G04/D (137kB)</v>
      </c>
      <c r="D285" t="s">
        <v>114</v>
      </c>
      <c r="E285" s="2" t="s">
        <v>398</v>
      </c>
      <c r="F285" t="s">
        <v>14</v>
      </c>
      <c r="H285" s="2" t="s">
        <v>116</v>
      </c>
      <c r="I285" s="2" t="s">
        <v>117</v>
      </c>
      <c r="J285" s="2" t="s">
        <v>127</v>
      </c>
      <c r="K285" s="2" t="s">
        <v>89</v>
      </c>
      <c r="L285" s="2" t="s">
        <v>89</v>
      </c>
      <c r="M285" s="2"/>
      <c r="N285" s="2" t="s">
        <v>68</v>
      </c>
      <c r="O285" s="2" t="s">
        <v>399</v>
      </c>
    </row>
    <row r="286" spans="1:15" ht="25.5">
      <c r="A286" s="5" t="s">
        <v>413</v>
      </c>
      <c r="B286" t="str">
        <f>HYPERLINK("https://www.onsemi.com/PowerSolutions/product.do?id=NLU1G14","NLU1G14")</f>
        <v>NLU1G14</v>
      </c>
      <c r="C286" t="str">
        <f>HYPERLINK("https://www.onsemi.com/pub/Collateral/NLU1G14-D.PDF","NLU1G14/D (140kB)")</f>
        <v>NLU1G14/D (140kB)</v>
      </c>
      <c r="D286" t="s">
        <v>379</v>
      </c>
      <c r="E286" s="2" t="s">
        <v>23</v>
      </c>
      <c r="F286" t="s">
        <v>14</v>
      </c>
      <c r="H286" s="2" t="s">
        <v>116</v>
      </c>
      <c r="I286" s="2" t="s">
        <v>117</v>
      </c>
      <c r="J286" s="2" t="s">
        <v>127</v>
      </c>
      <c r="K286" s="2" t="s">
        <v>89</v>
      </c>
      <c r="L286" s="2" t="s">
        <v>400</v>
      </c>
      <c r="M286" s="2"/>
      <c r="N286" s="2" t="s">
        <v>68</v>
      </c>
      <c r="O286" s="2" t="s">
        <v>399</v>
      </c>
    </row>
    <row r="287" spans="1:15" ht="51">
      <c r="A287" s="5" t="s">
        <v>413</v>
      </c>
      <c r="B287" t="str">
        <f>HYPERLINK("https://www.onsemi.com/PowerSolutions/product.do?id=NLU1GT125","NLU1GT125")</f>
        <v>NLU1GT125</v>
      </c>
      <c r="C287" t="str">
        <f>HYPERLINK("https://www.onsemi.com/pub/Collateral/NLU1GT125-D.PDF","NLU1GT125/D (119kB)")</f>
        <v>NLU1GT125/D (119kB)</v>
      </c>
      <c r="D287" t="s">
        <v>122</v>
      </c>
      <c r="E287" s="2" t="s">
        <v>13</v>
      </c>
      <c r="F287" t="s">
        <v>14</v>
      </c>
      <c r="H287" s="2" t="s">
        <v>116</v>
      </c>
      <c r="I287" s="2" t="s">
        <v>121</v>
      </c>
      <c r="J287" s="2" t="s">
        <v>127</v>
      </c>
      <c r="K287" s="2" t="s">
        <v>89</v>
      </c>
      <c r="L287" s="2" t="s">
        <v>89</v>
      </c>
      <c r="M287" s="2"/>
      <c r="N287" s="2" t="s">
        <v>68</v>
      </c>
      <c r="O287" s="2" t="s">
        <v>399</v>
      </c>
    </row>
    <row r="288" spans="1:15" ht="25.5">
      <c r="A288" s="5" t="s">
        <v>413</v>
      </c>
      <c r="B288" t="str">
        <f>HYPERLINK("https://www.onsemi.com/PowerSolutions/product.do?id=NLU1GT126","NLU1GT126")</f>
        <v>NLU1GT126</v>
      </c>
      <c r="C288" t="str">
        <f>HYPERLINK("https://www.onsemi.com/pub/Collateral/NLU1GT126-D.PDF","NLU1GT126/D (144kB)")</f>
        <v>NLU1GT126/D (144kB)</v>
      </c>
      <c r="D288" t="s">
        <v>401</v>
      </c>
      <c r="E288" s="2" t="s">
        <v>23</v>
      </c>
      <c r="F288" t="s">
        <v>14</v>
      </c>
      <c r="H288" s="2" t="s">
        <v>116</v>
      </c>
      <c r="I288" s="2" t="s">
        <v>121</v>
      </c>
      <c r="J288" s="2" t="s">
        <v>127</v>
      </c>
      <c r="K288" s="2" t="s">
        <v>89</v>
      </c>
      <c r="L288" s="2" t="s">
        <v>89</v>
      </c>
      <c r="M288" s="2"/>
      <c r="N288" s="2" t="s">
        <v>68</v>
      </c>
      <c r="O288" s="2" t="s">
        <v>399</v>
      </c>
    </row>
    <row r="289" spans="1:15" ht="25.5">
      <c r="A289" s="5" t="s">
        <v>413</v>
      </c>
      <c r="B289" t="str">
        <f>HYPERLINK("https://www.onsemi.com/PowerSolutions/product.do?id=NLU1GT50","NLU1GT50")</f>
        <v>NLU1GT50</v>
      </c>
      <c r="C289" t="str">
        <f>HYPERLINK("https://www.onsemi.com/pub/Collateral/NLU1GT50-D.PDF","NLU1GT50/D (151kB)")</f>
        <v>NLU1GT50/D (151kB)</v>
      </c>
      <c r="D289" t="s">
        <v>402</v>
      </c>
      <c r="E289" s="2" t="s">
        <v>23</v>
      </c>
      <c r="F289" t="s">
        <v>14</v>
      </c>
      <c r="H289" s="2" t="s">
        <v>116</v>
      </c>
      <c r="I289" s="2" t="s">
        <v>117</v>
      </c>
      <c r="J289" s="2" t="s">
        <v>127</v>
      </c>
      <c r="K289" s="2" t="s">
        <v>89</v>
      </c>
      <c r="L289" s="2" t="s">
        <v>403</v>
      </c>
      <c r="M289" s="2"/>
      <c r="N289" s="2" t="s">
        <v>68</v>
      </c>
      <c r="O289" s="2" t="s">
        <v>399</v>
      </c>
    </row>
    <row r="290" spans="1:15" ht="25.5">
      <c r="A290" s="5" t="s">
        <v>413</v>
      </c>
      <c r="B290" t="str">
        <f>HYPERLINK("https://www.onsemi.com/PowerSolutions/product.do?id=NLU2G04","NLU2G04")</f>
        <v>NLU2G04</v>
      </c>
      <c r="C290" t="str">
        <f>HYPERLINK("https://www.onsemi.com/pub/Collateral/NLU2G04-D.PDF","NLU2G04/D (64kB)")</f>
        <v>NLU2G04/D (64kB)</v>
      </c>
      <c r="D290" t="s">
        <v>384</v>
      </c>
      <c r="E290" s="2" t="s">
        <v>23</v>
      </c>
      <c r="F290" t="s">
        <v>14</v>
      </c>
      <c r="H290" s="2" t="s">
        <v>82</v>
      </c>
      <c r="I290" s="2" t="s">
        <v>117</v>
      </c>
      <c r="J290" s="2" t="s">
        <v>127</v>
      </c>
      <c r="K290" s="2" t="s">
        <v>89</v>
      </c>
      <c r="L290" s="2" t="s">
        <v>89</v>
      </c>
      <c r="M290" s="2"/>
      <c r="N290" s="2" t="s">
        <v>68</v>
      </c>
      <c r="O290" s="2" t="s">
        <v>399</v>
      </c>
    </row>
    <row r="291" spans="1:15" ht="25.5">
      <c r="A291" s="5" t="s">
        <v>413</v>
      </c>
      <c r="B291" t="str">
        <f>HYPERLINK("https://www.onsemi.com/PowerSolutions/product.do?id=NLU2G06","NLU2G06")</f>
        <v>NLU2G06</v>
      </c>
      <c r="C291" t="str">
        <f>HYPERLINK("https://www.onsemi.com/pub/Collateral/NLU2G06-D.PDF","NLU2G06/D (66kB)")</f>
        <v>NLU2G06/D (66kB)</v>
      </c>
      <c r="D291" t="s">
        <v>404</v>
      </c>
      <c r="E291" s="2" t="s">
        <v>23</v>
      </c>
      <c r="F291" t="s">
        <v>14</v>
      </c>
      <c r="H291" s="2" t="s">
        <v>82</v>
      </c>
      <c r="I291" s="2" t="s">
        <v>117</v>
      </c>
      <c r="J291" s="2" t="s">
        <v>127</v>
      </c>
      <c r="K291" s="2" t="s">
        <v>89</v>
      </c>
      <c r="L291" s="2" t="s">
        <v>89</v>
      </c>
      <c r="M291" s="2"/>
      <c r="N291" s="2" t="s">
        <v>68</v>
      </c>
      <c r="O291" s="2" t="s">
        <v>399</v>
      </c>
    </row>
    <row r="292" spans="1:15" ht="25.5">
      <c r="A292" s="5" t="s">
        <v>413</v>
      </c>
      <c r="B292" t="str">
        <f>HYPERLINK("https://www.onsemi.com/PowerSolutions/product.do?id=NLU2G14","NLU2G14")</f>
        <v>NLU2G14</v>
      </c>
      <c r="C292" t="str">
        <f>HYPERLINK("https://www.onsemi.com/pub/Collateral/NLU2G14-D.PDF","NLU2G14/D (67kB)")</f>
        <v>NLU2G14/D (67kB)</v>
      </c>
      <c r="D292" t="s">
        <v>405</v>
      </c>
      <c r="E292" s="2" t="s">
        <v>23</v>
      </c>
      <c r="F292" t="s">
        <v>14</v>
      </c>
      <c r="H292" s="2" t="s">
        <v>82</v>
      </c>
      <c r="I292" s="2" t="s">
        <v>117</v>
      </c>
      <c r="J292" s="2" t="s">
        <v>127</v>
      </c>
      <c r="K292" s="2" t="s">
        <v>89</v>
      </c>
      <c r="L292" s="2" t="s">
        <v>400</v>
      </c>
      <c r="M292" s="2"/>
      <c r="N292" s="2" t="s">
        <v>68</v>
      </c>
      <c r="O292" s="2" t="s">
        <v>399</v>
      </c>
    </row>
    <row r="293" spans="1:15" ht="25.5">
      <c r="A293" s="5" t="s">
        <v>413</v>
      </c>
      <c r="B293" t="str">
        <f>HYPERLINK("https://www.onsemi.com/PowerSolutions/product.do?id=NLU2G16","NLU2G16")</f>
        <v>NLU2G16</v>
      </c>
      <c r="C293" t="str">
        <f>HYPERLINK("https://www.onsemi.com/pub/Collateral/NLU2G16-D.PDF","NLU2G16/D (65kB)")</f>
        <v>NLU2G16/D (65kB)</v>
      </c>
      <c r="D293" t="s">
        <v>135</v>
      </c>
      <c r="E293" s="2" t="s">
        <v>23</v>
      </c>
      <c r="F293" t="s">
        <v>14</v>
      </c>
      <c r="H293" s="2" t="s">
        <v>82</v>
      </c>
      <c r="I293" s="2" t="s">
        <v>117</v>
      </c>
      <c r="J293" s="2" t="s">
        <v>127</v>
      </c>
      <c r="K293" s="2" t="s">
        <v>89</v>
      </c>
      <c r="L293" s="2" t="s">
        <v>89</v>
      </c>
      <c r="M293" s="2"/>
      <c r="N293" s="2" t="s">
        <v>68</v>
      </c>
      <c r="O293" s="2" t="s">
        <v>399</v>
      </c>
    </row>
    <row r="294" spans="1:15" ht="25.5">
      <c r="A294" s="5" t="s">
        <v>413</v>
      </c>
      <c r="B294" t="str">
        <f>HYPERLINK("https://www.onsemi.com/PowerSolutions/product.do?id=NLU2G17","NLU2G17")</f>
        <v>NLU2G17</v>
      </c>
      <c r="C294" t="str">
        <f>HYPERLINK("https://www.onsemi.com/pub/Collateral/NLU2G17-D.PDF","NLU2G17/D (73kB)")</f>
        <v>NLU2G17/D (73kB)</v>
      </c>
      <c r="D294" t="s">
        <v>406</v>
      </c>
      <c r="E294" s="2" t="s">
        <v>23</v>
      </c>
      <c r="F294" t="s">
        <v>14</v>
      </c>
      <c r="H294" s="2" t="s">
        <v>82</v>
      </c>
      <c r="I294" s="2" t="s">
        <v>117</v>
      </c>
      <c r="J294" s="2" t="s">
        <v>127</v>
      </c>
      <c r="K294" s="2" t="s">
        <v>89</v>
      </c>
      <c r="L294" s="2" t="s">
        <v>400</v>
      </c>
      <c r="M294" s="2"/>
      <c r="N294" s="2" t="s">
        <v>68</v>
      </c>
      <c r="O294" s="2" t="s">
        <v>399</v>
      </c>
    </row>
    <row r="295" spans="1:15" ht="25.5">
      <c r="A295" s="5" t="s">
        <v>413</v>
      </c>
      <c r="B295" t="str">
        <f>HYPERLINK("https://www.onsemi.com/PowerSolutions/product.do?id=NLU2GU04","NLU2GU04")</f>
        <v>NLU2GU04</v>
      </c>
      <c r="C295" t="str">
        <f>HYPERLINK("https://www.onsemi.com/pub/Collateral/NLU2GU04-D.PDF","NLU2GU04/D (71kB)")</f>
        <v>NLU2GU04/D (71kB)</v>
      </c>
      <c r="D295" t="s">
        <v>407</v>
      </c>
      <c r="E295" s="2" t="s">
        <v>23</v>
      </c>
      <c r="F295" t="s">
        <v>14</v>
      </c>
      <c r="H295" s="2" t="s">
        <v>82</v>
      </c>
      <c r="I295" s="2" t="s">
        <v>117</v>
      </c>
      <c r="J295" s="2" t="s">
        <v>127</v>
      </c>
      <c r="K295" s="2" t="s">
        <v>89</v>
      </c>
      <c r="L295" s="2" t="s">
        <v>89</v>
      </c>
      <c r="M295" s="2"/>
      <c r="N295" s="2" t="s">
        <v>68</v>
      </c>
      <c r="O295" s="2" t="s">
        <v>399</v>
      </c>
    </row>
    <row r="296" spans="1:15" ht="25.5">
      <c r="A296" s="5" t="s">
        <v>413</v>
      </c>
      <c r="B296" t="str">
        <f>HYPERLINK("https://www.onsemi.com/PowerSolutions/product.do?id=NLU3G16","NLU3G16")</f>
        <v>NLU3G16</v>
      </c>
      <c r="C296" t="str">
        <f>HYPERLINK("https://www.onsemi.com/pub/Collateral/NLU3G16-D.PDF","NLU3G16/D (77kB)")</f>
        <v>NLU3G16/D (77kB)</v>
      </c>
      <c r="D296" t="s">
        <v>408</v>
      </c>
      <c r="E296" s="2" t="s">
        <v>23</v>
      </c>
      <c r="F296" t="s">
        <v>14</v>
      </c>
      <c r="H296" s="2" t="s">
        <v>16</v>
      </c>
      <c r="I296" s="2" t="s">
        <v>117</v>
      </c>
      <c r="J296" s="2" t="s">
        <v>127</v>
      </c>
      <c r="K296" s="2" t="s">
        <v>89</v>
      </c>
      <c r="L296" s="2" t="s">
        <v>89</v>
      </c>
      <c r="M296" s="2"/>
      <c r="N296" s="2" t="s">
        <v>68</v>
      </c>
      <c r="O296" s="2" t="s">
        <v>409</v>
      </c>
    </row>
    <row r="297" spans="1:15" ht="51">
      <c r="A297" s="5" t="s">
        <v>413</v>
      </c>
      <c r="B297" t="str">
        <f>HYPERLINK("https://www.onsemi.com/PowerSolutions/product.do?id=NLV17SZ06","NLV17SZ06")</f>
        <v>NLV17SZ06</v>
      </c>
      <c r="C297" t="str">
        <f>HYPERLINK("https://www.onsemi.com/pub/Collateral/NLV17SZ06-D.PDF","NLV17SZ06/D (66kB)")</f>
        <v>NLV17SZ06/D (66kB)</v>
      </c>
      <c r="D297" t="s">
        <v>267</v>
      </c>
      <c r="E297" s="2" t="s">
        <v>109</v>
      </c>
      <c r="F297" t="s">
        <v>14</v>
      </c>
      <c r="H297" s="2" t="s">
        <v>116</v>
      </c>
      <c r="I297" s="2" t="s">
        <v>219</v>
      </c>
      <c r="J297" s="2" t="s">
        <v>127</v>
      </c>
      <c r="K297" s="2" t="s">
        <v>89</v>
      </c>
      <c r="L297" s="2" t="s">
        <v>16</v>
      </c>
      <c r="M297" s="2"/>
      <c r="N297" s="2" t="s">
        <v>86</v>
      </c>
      <c r="O297" s="2" t="s">
        <v>132</v>
      </c>
    </row>
    <row r="298" spans="1:15" ht="51">
      <c r="A298" s="5" t="s">
        <v>413</v>
      </c>
      <c r="B298" t="str">
        <f>HYPERLINK("https://www.onsemi.com/PowerSolutions/product.do?id=NLV17SZ07","NLV17SZ07")</f>
        <v>NLV17SZ07</v>
      </c>
      <c r="C298" t="str">
        <f>HYPERLINK("https://www.onsemi.com/pub/Collateral/NLV17SZ07-D.PDF","NLV17SZ07/D (67kB)")</f>
        <v>NLV17SZ07/D (67kB)</v>
      </c>
      <c r="D298" t="s">
        <v>268</v>
      </c>
      <c r="E298" s="2" t="s">
        <v>109</v>
      </c>
      <c r="F298" t="s">
        <v>14</v>
      </c>
      <c r="H298" s="2" t="s">
        <v>116</v>
      </c>
      <c r="I298" s="2" t="s">
        <v>219</v>
      </c>
      <c r="J298" s="2" t="s">
        <v>127</v>
      </c>
      <c r="K298" s="2" t="s">
        <v>89</v>
      </c>
      <c r="L298" s="2" t="s">
        <v>207</v>
      </c>
      <c r="M298" s="2"/>
      <c r="N298" s="2" t="s">
        <v>86</v>
      </c>
      <c r="O298" s="2" t="s">
        <v>132</v>
      </c>
    </row>
    <row r="299" spans="1:15" ht="25.5">
      <c r="A299" s="5" t="s">
        <v>413</v>
      </c>
      <c r="B299" t="str">
        <f>HYPERLINK("https://www.onsemi.com/PowerSolutions/product.do?id=NLX2G06","NLX2G06")</f>
        <v>NLX2G06</v>
      </c>
      <c r="C299" t="str">
        <f>HYPERLINK("https://www.onsemi.com/pub/Collateral/NLX2G06-D.PDF","NLX2G06/D (73kB)")</f>
        <v>NLX2G06/D (73kB)</v>
      </c>
      <c r="D299" t="s">
        <v>404</v>
      </c>
      <c r="E299" s="2" t="s">
        <v>23</v>
      </c>
      <c r="F299" t="s">
        <v>14</v>
      </c>
      <c r="H299" s="2" t="s">
        <v>82</v>
      </c>
      <c r="I299" s="2" t="s">
        <v>219</v>
      </c>
      <c r="J299" s="2" t="s">
        <v>127</v>
      </c>
      <c r="K299" s="2" t="s">
        <v>89</v>
      </c>
      <c r="L299" s="2" t="s">
        <v>142</v>
      </c>
      <c r="M299" s="2"/>
      <c r="N299" s="2" t="s">
        <v>86</v>
      </c>
      <c r="O299" s="2" t="s">
        <v>399</v>
      </c>
    </row>
    <row r="300" spans="1:15" ht="25.5">
      <c r="A300" s="5" t="s">
        <v>413</v>
      </c>
      <c r="B300" t="str">
        <f>HYPERLINK("https://www.onsemi.com/PowerSolutions/product.do?id=NLX2G07","NLX2G07")</f>
        <v>NLX2G07</v>
      </c>
      <c r="C300" t="str">
        <f>HYPERLINK("https://www.onsemi.com/pub/Collateral/NLX2G07-D.PDF","NLX2G07/D (74kB)")</f>
        <v>NLX2G07/D (74kB)</v>
      </c>
      <c r="D300" t="s">
        <v>410</v>
      </c>
      <c r="E300" s="2" t="s">
        <v>23</v>
      </c>
      <c r="F300" t="s">
        <v>14</v>
      </c>
      <c r="H300" s="2" t="s">
        <v>82</v>
      </c>
      <c r="I300" s="2" t="s">
        <v>219</v>
      </c>
      <c r="J300" s="2" t="s">
        <v>127</v>
      </c>
      <c r="K300" s="2" t="s">
        <v>89</v>
      </c>
      <c r="L300" s="2" t="s">
        <v>207</v>
      </c>
      <c r="M300" s="2"/>
      <c r="N300" s="2" t="s">
        <v>143</v>
      </c>
      <c r="O300" s="2" t="s">
        <v>399</v>
      </c>
    </row>
    <row r="301" spans="1:15" ht="25.5">
      <c r="A301" s="5" t="s">
        <v>413</v>
      </c>
      <c r="B301" t="str">
        <f>HYPERLINK("https://www.onsemi.com/PowerSolutions/product.do?id=NLX2G14","NLX2G14")</f>
        <v>NLX2G14</v>
      </c>
      <c r="C301" t="str">
        <f>HYPERLINK("https://www.onsemi.com/pub/Collateral/NLX2G14-D.PDF","NLX2G14/D (76kB)")</f>
        <v>NLX2G14/D (76kB)</v>
      </c>
      <c r="D301" t="s">
        <v>405</v>
      </c>
      <c r="E301" s="2" t="s">
        <v>23</v>
      </c>
      <c r="F301" t="s">
        <v>14</v>
      </c>
      <c r="H301" s="2" t="s">
        <v>82</v>
      </c>
      <c r="I301" s="2" t="s">
        <v>117</v>
      </c>
      <c r="J301" s="2" t="s">
        <v>127</v>
      </c>
      <c r="K301" s="2" t="s">
        <v>89</v>
      </c>
      <c r="L301" s="2" t="s">
        <v>151</v>
      </c>
      <c r="M301" s="2"/>
      <c r="N301" s="2" t="s">
        <v>86</v>
      </c>
      <c r="O301" s="2" t="s">
        <v>399</v>
      </c>
    </row>
    <row r="302" spans="1:15" ht="51">
      <c r="A302" s="5" t="s">
        <v>413</v>
      </c>
      <c r="B302" t="str">
        <f>HYPERLINK("https://www.onsemi.com/PowerSolutions/product.do?id=NLX2G16","NLX2G16")</f>
        <v>NLX2G16</v>
      </c>
      <c r="C302" t="str">
        <f>HYPERLINK("https://www.onsemi.com/pub/Collateral/NLX2G16-D.PDF","NLX2G16/D (71kB)")</f>
        <v>NLX2G16/D (71kB)</v>
      </c>
      <c r="D302" t="s">
        <v>135</v>
      </c>
      <c r="E302" s="2" t="s">
        <v>109</v>
      </c>
      <c r="F302" t="s">
        <v>14</v>
      </c>
      <c r="H302" s="2" t="s">
        <v>82</v>
      </c>
      <c r="I302" s="2" t="s">
        <v>117</v>
      </c>
      <c r="J302" s="2" t="s">
        <v>127</v>
      </c>
      <c r="K302" s="2" t="s">
        <v>89</v>
      </c>
      <c r="L302" s="2" t="s">
        <v>353</v>
      </c>
      <c r="M302" s="2"/>
      <c r="N302" s="2" t="s">
        <v>86</v>
      </c>
      <c r="O302" s="2" t="s">
        <v>399</v>
      </c>
    </row>
    <row r="303" spans="1:15" ht="25.5">
      <c r="A303" s="5" t="s">
        <v>413</v>
      </c>
      <c r="B303" t="str">
        <f>HYPERLINK("https://www.onsemi.com/PowerSolutions/product.do?id=NLX3G14","NLX3G14")</f>
        <v>NLX3G14</v>
      </c>
      <c r="C303" t="str">
        <f>HYPERLINK("https://www.onsemi.com/pub/Collateral/NLX3G14-D.PDF","NLX3G14/D (70kB)")</f>
        <v>NLX3G14/D (70kB)</v>
      </c>
      <c r="D303" t="s">
        <v>411</v>
      </c>
      <c r="E303" s="2" t="s">
        <v>23</v>
      </c>
      <c r="F303" t="s">
        <v>14</v>
      </c>
      <c r="H303" s="2" t="s">
        <v>16</v>
      </c>
      <c r="I303" s="2" t="s">
        <v>117</v>
      </c>
      <c r="J303" s="2" t="s">
        <v>127</v>
      </c>
      <c r="K303" s="2" t="s">
        <v>89</v>
      </c>
      <c r="L303" s="2" t="s">
        <v>151</v>
      </c>
      <c r="M303" s="2"/>
      <c r="N303" s="2" t="s">
        <v>86</v>
      </c>
      <c r="O303" s="2" t="s">
        <v>412</v>
      </c>
    </row>
    <row r="304" spans="1:15" ht="38.25">
      <c r="A304" s="5" t="s">
        <v>413</v>
      </c>
      <c r="B304" t="str">
        <f>HYPERLINK("https://www.onsemi.com/PowerSolutions/product.do?id=NLX3G16","NLX3G16")</f>
        <v>NLX3G16</v>
      </c>
      <c r="C304" t="str">
        <f>HYPERLINK("https://www.onsemi.com/pub/Collateral/NLX3G16-D.PDF","NLX3G16/D (123kB)")</f>
        <v>NLX3G16/D (123kB)</v>
      </c>
      <c r="D304" t="s">
        <v>393</v>
      </c>
      <c r="E304" s="2" t="s">
        <v>398</v>
      </c>
      <c r="F304" t="s">
        <v>14</v>
      </c>
      <c r="H304" s="2" t="s">
        <v>16</v>
      </c>
      <c r="I304" s="2" t="s">
        <v>117</v>
      </c>
      <c r="J304" s="2" t="s">
        <v>127</v>
      </c>
      <c r="K304" s="2" t="s">
        <v>89</v>
      </c>
      <c r="L304" s="2" t="s">
        <v>353</v>
      </c>
      <c r="M304" s="2"/>
      <c r="N304" s="2" t="s">
        <v>86</v>
      </c>
      <c r="O304" s="2" t="s">
        <v>412</v>
      </c>
    </row>
    <row r="305" spans="1:15" ht="25.5">
      <c r="A305" s="6" t="s">
        <v>414</v>
      </c>
      <c r="B305" t="str">
        <f>HYPERLINK("https://www.onsemi.com/PowerSolutions/product.do?id=74AC245","74AC245")</f>
        <v>74AC245</v>
      </c>
      <c r="C305" t="str">
        <f>HYPERLINK("https://www.onsemi.com/pub/Collateral/74ACT245-D.pdf","74ACT245/D (524kB)")</f>
        <v>74ACT245/D (524kB)</v>
      </c>
      <c r="D305" t="s">
        <v>415</v>
      </c>
      <c r="E305" s="2" t="s">
        <v>23</v>
      </c>
      <c r="F305" t="s">
        <v>14</v>
      </c>
      <c r="H305" s="2" t="s">
        <v>68</v>
      </c>
      <c r="I305" s="2" t="s">
        <v>121</v>
      </c>
      <c r="J305" s="2" t="s">
        <v>82</v>
      </c>
      <c r="K305" s="2" t="s">
        <v>83</v>
      </c>
      <c r="L305" s="2" t="s">
        <v>168</v>
      </c>
      <c r="M305" s="2"/>
      <c r="N305" s="2" t="s">
        <v>86</v>
      </c>
      <c r="O305" s="2" t="s">
        <v>152</v>
      </c>
    </row>
    <row r="306" spans="1:15" ht="25.5">
      <c r="A306" s="6" t="s">
        <v>414</v>
      </c>
      <c r="B306" t="str">
        <f>HYPERLINK("https://www.onsemi.com/PowerSolutions/product.do?id=74ACT245","74ACT245")</f>
        <v>74ACT245</v>
      </c>
      <c r="C306" t="str">
        <f>HYPERLINK("https://www.onsemi.com/pub/Collateral/74ACT245-D.pdf","74ACT245/D (524kB)")</f>
        <v>74ACT245/D (524kB)</v>
      </c>
      <c r="D306" t="s">
        <v>415</v>
      </c>
      <c r="E306" s="2" t="s">
        <v>23</v>
      </c>
      <c r="F306" t="s">
        <v>14</v>
      </c>
      <c r="H306" s="2" t="s">
        <v>68</v>
      </c>
      <c r="I306" s="2" t="s">
        <v>121</v>
      </c>
      <c r="J306" s="2" t="s">
        <v>71</v>
      </c>
      <c r="K306" s="2" t="s">
        <v>89</v>
      </c>
      <c r="L306" s="2" t="s">
        <v>168</v>
      </c>
      <c r="M306" s="2"/>
      <c r="N306" s="2" t="s">
        <v>86</v>
      </c>
      <c r="O306" s="2" t="s">
        <v>152</v>
      </c>
    </row>
    <row r="307" spans="1:15" ht="25.5">
      <c r="A307" s="6" t="s">
        <v>416</v>
      </c>
      <c r="B307" t="str">
        <f>HYPERLINK("https://www.onsemi.com/PowerSolutions/product.do?id=74ALVC16245","74ALVC16245")</f>
        <v>74ALVC16245</v>
      </c>
      <c r="C307" t="str">
        <f>HYPERLINK("https://www.onsemi.com/pub/Collateral/74ALVC16245-D.pdf","74ALVC16245/D (229kB)")</f>
        <v>74ALVC16245/D (229kB)</v>
      </c>
      <c r="D307" t="s">
        <v>417</v>
      </c>
      <c r="E307" s="2" t="s">
        <v>23</v>
      </c>
      <c r="F307" t="s">
        <v>14</v>
      </c>
      <c r="H307" s="2" t="s">
        <v>72</v>
      </c>
      <c r="I307" s="2" t="s">
        <v>121</v>
      </c>
      <c r="J307" s="2" t="s">
        <v>127</v>
      </c>
      <c r="K307" s="2" t="s">
        <v>131</v>
      </c>
      <c r="L307" s="2" t="s">
        <v>16</v>
      </c>
      <c r="M307" s="2"/>
      <c r="N307" s="2" t="s">
        <v>86</v>
      </c>
      <c r="O307" s="2" t="s">
        <v>154</v>
      </c>
    </row>
    <row r="308" spans="1:15" ht="25.5">
      <c r="A308" s="6" t="s">
        <v>416</v>
      </c>
      <c r="B308" t="str">
        <f>HYPERLINK("https://www.onsemi.com/PowerSolutions/product.do?id=74LCX16245","74LCX16245")</f>
        <v>74LCX16245</v>
      </c>
      <c r="C308" t="str">
        <f>HYPERLINK("https://www.onsemi.com/pub/Collateral/74LCX16245-D.pdf","74LCX16245/D (240kB)")</f>
        <v>74LCX16245/D (240kB)</v>
      </c>
      <c r="D308" t="s">
        <v>418</v>
      </c>
      <c r="E308" s="2" t="s">
        <v>23</v>
      </c>
      <c r="F308" t="s">
        <v>14</v>
      </c>
      <c r="H308" s="2" t="s">
        <v>72</v>
      </c>
      <c r="I308" s="2" t="s">
        <v>121</v>
      </c>
      <c r="J308" s="2" t="s">
        <v>82</v>
      </c>
      <c r="K308" s="2" t="s">
        <v>131</v>
      </c>
      <c r="L308" s="2" t="s">
        <v>71</v>
      </c>
      <c r="M308" s="2"/>
      <c r="N308" s="2" t="s">
        <v>86</v>
      </c>
      <c r="O308" s="2" t="s">
        <v>154</v>
      </c>
    </row>
    <row r="309" spans="1:15" ht="25.5">
      <c r="A309" s="6" t="s">
        <v>414</v>
      </c>
      <c r="B309" t="str">
        <f>HYPERLINK("https://www.onsemi.com/PowerSolutions/product.do?id=74LCX16500","74LCX16500")</f>
        <v>74LCX16500</v>
      </c>
      <c r="C309" t="str">
        <f>HYPERLINK("https://www.onsemi.com/pub/Collateral/74LCX16500-D.pdf","74LCX16500/D (226kB)")</f>
        <v>74LCX16500/D (226kB)</v>
      </c>
      <c r="D309" t="s">
        <v>419</v>
      </c>
      <c r="E309" s="2" t="s">
        <v>23</v>
      </c>
      <c r="F309" t="s">
        <v>14</v>
      </c>
      <c r="H309" s="2" t="s">
        <v>17</v>
      </c>
      <c r="I309" s="2" t="s">
        <v>117</v>
      </c>
      <c r="J309" s="2" t="s">
        <v>82</v>
      </c>
      <c r="K309" s="2" t="s">
        <v>131</v>
      </c>
      <c r="L309" s="2" t="s">
        <v>83</v>
      </c>
      <c r="M309" s="2"/>
      <c r="N309" s="2" t="s">
        <v>86</v>
      </c>
      <c r="O309" s="2" t="s">
        <v>420</v>
      </c>
    </row>
    <row r="310" spans="1:15" ht="25.5">
      <c r="A310" s="6" t="s">
        <v>416</v>
      </c>
      <c r="B310" t="str">
        <f>HYPERLINK("https://www.onsemi.com/PowerSolutions/product.do?id=74LCX16501","74LCX16501")</f>
        <v>74LCX16501</v>
      </c>
      <c r="C310" t="str">
        <f>HYPERLINK("https://www.onsemi.com/pub/Collateral/74LCX16501-D.pdf","74LCX16501/D (201kB)")</f>
        <v>74LCX16501/D (201kB)</v>
      </c>
      <c r="D310" t="s">
        <v>421</v>
      </c>
      <c r="E310" s="2" t="s">
        <v>23</v>
      </c>
      <c r="F310" t="s">
        <v>14</v>
      </c>
      <c r="H310" s="2" t="s">
        <v>17</v>
      </c>
      <c r="I310" s="2" t="s">
        <v>117</v>
      </c>
      <c r="J310" s="2" t="s">
        <v>82</v>
      </c>
      <c r="K310" s="2" t="s">
        <v>131</v>
      </c>
      <c r="L310" s="2" t="s">
        <v>83</v>
      </c>
      <c r="M310" s="2"/>
      <c r="N310" s="2" t="s">
        <v>86</v>
      </c>
      <c r="O310" s="2" t="s">
        <v>420</v>
      </c>
    </row>
    <row r="311" spans="1:15" ht="25.5">
      <c r="A311" s="6" t="s">
        <v>416</v>
      </c>
      <c r="B311" t="str">
        <f>HYPERLINK("https://www.onsemi.com/PowerSolutions/product.do?id=74LCX16543","74LCX16543")</f>
        <v>74LCX16543</v>
      </c>
      <c r="C311" t="str">
        <f>HYPERLINK("https://www.onsemi.com/pub/Collateral/74LCX16543-D.pdf","74LCX16543/D (210kB)")</f>
        <v>74LCX16543/D (210kB)</v>
      </c>
      <c r="D311" t="s">
        <v>422</v>
      </c>
      <c r="E311" s="2" t="s">
        <v>23</v>
      </c>
      <c r="F311" t="s">
        <v>14</v>
      </c>
      <c r="H311" s="2" t="s">
        <v>72</v>
      </c>
      <c r="I311" s="2" t="s">
        <v>121</v>
      </c>
      <c r="J311" s="2" t="s">
        <v>82</v>
      </c>
      <c r="K311" s="2" t="s">
        <v>131</v>
      </c>
      <c r="L311" s="2" t="s">
        <v>97</v>
      </c>
      <c r="M311" s="2"/>
      <c r="N311" s="2" t="s">
        <v>86</v>
      </c>
      <c r="O311" s="2" t="s">
        <v>420</v>
      </c>
    </row>
    <row r="312" spans="1:15" ht="25.5">
      <c r="A312" s="6" t="s">
        <v>416</v>
      </c>
      <c r="B312" t="str">
        <f>HYPERLINK("https://www.onsemi.com/PowerSolutions/product.do?id=74LCX16646","74LCX16646")</f>
        <v>74LCX16646</v>
      </c>
      <c r="C312" t="str">
        <f>HYPERLINK("https://www.onsemi.com/pub/Collateral/74LCX16646-D.pdf","74LCX16646/D (240kB)")</f>
        <v>74LCX16646/D (240kB)</v>
      </c>
      <c r="D312" t="s">
        <v>423</v>
      </c>
      <c r="E312" s="2" t="s">
        <v>23</v>
      </c>
      <c r="F312" t="s">
        <v>14</v>
      </c>
      <c r="H312" s="2" t="s">
        <v>72</v>
      </c>
      <c r="I312" s="2" t="s">
        <v>121</v>
      </c>
      <c r="J312" s="2" t="s">
        <v>82</v>
      </c>
      <c r="K312" s="2" t="s">
        <v>131</v>
      </c>
      <c r="L312" s="2" t="s">
        <v>97</v>
      </c>
      <c r="M312" s="2"/>
      <c r="N312" s="2" t="s">
        <v>86</v>
      </c>
      <c r="O312" s="2" t="s">
        <v>420</v>
      </c>
    </row>
    <row r="313" spans="1:15" ht="51">
      <c r="A313" s="6" t="s">
        <v>416</v>
      </c>
      <c r="B313" t="str">
        <f>HYPERLINK("https://www.onsemi.com/PowerSolutions/product.do?id=74LCX245","74LCX245")</f>
        <v>74LCX245</v>
      </c>
      <c r="C313" t="str">
        <f>HYPERLINK("https://www.onsemi.com/pub/Collateral/74LCX245-D.pdf","74LCX245/D (1099kB)")</f>
        <v>74LCX245/D (1099kB)</v>
      </c>
      <c r="D313" t="s">
        <v>424</v>
      </c>
      <c r="E313" s="2" t="s">
        <v>23</v>
      </c>
      <c r="F313" t="s">
        <v>14</v>
      </c>
      <c r="H313" s="2" t="s">
        <v>68</v>
      </c>
      <c r="I313" s="2" t="s">
        <v>121</v>
      </c>
      <c r="J313" s="2" t="s">
        <v>82</v>
      </c>
      <c r="K313" s="2" t="s">
        <v>131</v>
      </c>
      <c r="L313" s="2" t="s">
        <v>148</v>
      </c>
      <c r="M313" s="2"/>
      <c r="N313" s="2" t="s">
        <v>86</v>
      </c>
      <c r="O313" s="2" t="s">
        <v>180</v>
      </c>
    </row>
    <row r="314" spans="1:15">
      <c r="A314" s="6" t="s">
        <v>414</v>
      </c>
      <c r="B314" t="str">
        <f>HYPERLINK("https://www.onsemi.com/PowerSolutions/product.do?id=74LCX543","74LCX543")</f>
        <v>74LCX543</v>
      </c>
      <c r="C314" t="str">
        <f>HYPERLINK("https://www.onsemi.com/pub/Collateral/74LCX543-D.pdf","74LCX543/D (209kB)")</f>
        <v>74LCX543/D (209kB)</v>
      </c>
      <c r="D314" t="s">
        <v>425</v>
      </c>
      <c r="E314" s="2" t="s">
        <v>175</v>
      </c>
      <c r="F314" t="s">
        <v>14</v>
      </c>
      <c r="H314" s="2" t="s">
        <v>68</v>
      </c>
      <c r="I314" s="2" t="s">
        <v>121</v>
      </c>
      <c r="J314" s="2" t="s">
        <v>82</v>
      </c>
      <c r="K314" s="2" t="s">
        <v>131</v>
      </c>
      <c r="L314" s="2" t="s">
        <v>148</v>
      </c>
      <c r="M314" s="2"/>
      <c r="N314" s="2" t="s">
        <v>86</v>
      </c>
      <c r="O314" s="2" t="s">
        <v>426</v>
      </c>
    </row>
    <row r="315" spans="1:15">
      <c r="A315" s="6" t="s">
        <v>416</v>
      </c>
      <c r="B315" t="str">
        <f>HYPERLINK("https://www.onsemi.com/PowerSolutions/product.do?id=74LCX652","74LCX652")</f>
        <v>74LCX652</v>
      </c>
      <c r="C315" t="str">
        <f>HYPERLINK("https://www.onsemi.com/pub/Collateral/74LCX652-D.pdf","74LCX652/D (225kB)")</f>
        <v>74LCX652/D (225kB)</v>
      </c>
      <c r="D315" t="s">
        <v>427</v>
      </c>
      <c r="E315" s="2" t="s">
        <v>175</v>
      </c>
      <c r="F315" t="s">
        <v>14</v>
      </c>
      <c r="H315" s="2" t="s">
        <v>68</v>
      </c>
      <c r="I315" s="2" t="s">
        <v>121</v>
      </c>
      <c r="J315" s="2" t="s">
        <v>82</v>
      </c>
      <c r="K315" s="2" t="s">
        <v>131</v>
      </c>
      <c r="L315" s="2" t="s">
        <v>148</v>
      </c>
      <c r="M315" s="2"/>
      <c r="N315" s="2" t="s">
        <v>86</v>
      </c>
      <c r="O315" s="2" t="s">
        <v>426</v>
      </c>
    </row>
    <row r="316" spans="1:15" ht="25.5">
      <c r="A316" s="6" t="s">
        <v>414</v>
      </c>
      <c r="B316" t="str">
        <f>HYPERLINK("https://www.onsemi.com/PowerSolutions/product.do?id=74LCXH16245","74LCXH16245")</f>
        <v>74LCXH16245</v>
      </c>
      <c r="C316" t="str">
        <f>HYPERLINK("https://www.onsemi.com/pub/Collateral/74LCXH16245-D.pdf","74LCXH16245/D (216kB)")</f>
        <v>74LCXH16245/D (216kB)</v>
      </c>
      <c r="D316" t="s">
        <v>428</v>
      </c>
      <c r="E316" s="2" t="s">
        <v>23</v>
      </c>
      <c r="F316" t="s">
        <v>14</v>
      </c>
      <c r="H316" s="2" t="s">
        <v>72</v>
      </c>
      <c r="I316" s="2" t="s">
        <v>121</v>
      </c>
      <c r="J316" s="2" t="s">
        <v>82</v>
      </c>
      <c r="K316" s="2" t="s">
        <v>131</v>
      </c>
      <c r="L316" s="2" t="s">
        <v>71</v>
      </c>
      <c r="M316" s="2"/>
      <c r="N316" s="2" t="s">
        <v>86</v>
      </c>
      <c r="O316" s="2" t="s">
        <v>154</v>
      </c>
    </row>
    <row r="317" spans="1:15">
      <c r="A317" s="6" t="s">
        <v>416</v>
      </c>
      <c r="B317" t="str">
        <f>HYPERLINK("https://www.onsemi.com/PowerSolutions/product.do?id=74LCXH245","74LCXH245")</f>
        <v>74LCXH245</v>
      </c>
      <c r="C317" t="str">
        <f>HYPERLINK("https://www.onsemi.com/pub/Collateral/74LCXH245-D.pdf","74LCXH245/D (316kB)")</f>
        <v>74LCXH245/D (316kB)</v>
      </c>
      <c r="D317" t="s">
        <v>429</v>
      </c>
      <c r="E317" s="2" t="s">
        <v>175</v>
      </c>
      <c r="F317" t="s">
        <v>14</v>
      </c>
      <c r="H317" s="2" t="s">
        <v>68</v>
      </c>
      <c r="I317" s="2" t="s">
        <v>121</v>
      </c>
      <c r="J317" s="2" t="s">
        <v>82</v>
      </c>
      <c r="K317" s="2" t="s">
        <v>131</v>
      </c>
      <c r="L317" s="2" t="s">
        <v>148</v>
      </c>
      <c r="M317" s="2"/>
      <c r="N317" s="2" t="s">
        <v>86</v>
      </c>
      <c r="O317" s="2" t="s">
        <v>176</v>
      </c>
    </row>
    <row r="318" spans="1:15" ht="25.5">
      <c r="A318" s="6" t="s">
        <v>414</v>
      </c>
      <c r="B318" t="str">
        <f>HYPERLINK("https://www.onsemi.com/PowerSolutions/product.do?id=74LCXP16245","74LCXP16245")</f>
        <v>74LCXP16245</v>
      </c>
      <c r="C318" t="str">
        <f>HYPERLINK("https://www.onsemi.com/pub/Collateral/74LCXP16245-D.pdf","74LCXP16245/D (221kB)")</f>
        <v>74LCXP16245/D (221kB)</v>
      </c>
      <c r="D318" t="s">
        <v>430</v>
      </c>
      <c r="E318" s="2" t="s">
        <v>23</v>
      </c>
      <c r="F318" t="s">
        <v>14</v>
      </c>
      <c r="H318" s="2" t="s">
        <v>72</v>
      </c>
      <c r="I318" s="2" t="s">
        <v>121</v>
      </c>
      <c r="J318" s="2" t="s">
        <v>82</v>
      </c>
      <c r="K318" s="2" t="s">
        <v>131</v>
      </c>
      <c r="L318" s="2" t="s">
        <v>89</v>
      </c>
      <c r="M318" s="2"/>
      <c r="N318" s="2" t="s">
        <v>86</v>
      </c>
      <c r="O318" s="2" t="s">
        <v>154</v>
      </c>
    </row>
    <row r="319" spans="1:15" ht="25.5">
      <c r="A319" s="6" t="s">
        <v>416</v>
      </c>
      <c r="B319" t="str">
        <f>HYPERLINK("https://www.onsemi.com/PowerSolutions/product.do?id=74LCXR162245","74LCXR162245")</f>
        <v>74LCXR162245</v>
      </c>
      <c r="C319" t="str">
        <f>HYPERLINK("https://www.onsemi.com/pub/Collateral/74LCXR162245-D.pdf","74LCXR162245/D (220kB)")</f>
        <v>74LCXR162245/D (220kB)</v>
      </c>
      <c r="D319" t="s">
        <v>431</v>
      </c>
      <c r="E319" s="2" t="s">
        <v>23</v>
      </c>
      <c r="F319" t="s">
        <v>14</v>
      </c>
      <c r="H319" s="2" t="s">
        <v>72</v>
      </c>
      <c r="I319" s="2" t="s">
        <v>121</v>
      </c>
      <c r="J319" s="2" t="s">
        <v>82</v>
      </c>
      <c r="K319" s="2" t="s">
        <v>131</v>
      </c>
      <c r="L319" s="2" t="s">
        <v>170</v>
      </c>
      <c r="M319" s="2"/>
      <c r="N319" s="2" t="s">
        <v>171</v>
      </c>
      <c r="O319" s="2" t="s">
        <v>154</v>
      </c>
    </row>
    <row r="320" spans="1:15">
      <c r="A320" s="6" t="s">
        <v>416</v>
      </c>
      <c r="B320" t="str">
        <f>HYPERLINK("https://www.onsemi.com/PowerSolutions/product.do?id=74LCXR2245","74LCXR2245")</f>
        <v>74LCXR2245</v>
      </c>
      <c r="C320" t="str">
        <f>HYPERLINK("https://www.onsemi.com/pub/Collateral/74LCXR2245-D.pdf","74LCXR2245/D (579kB)")</f>
        <v>74LCXR2245/D (579kB)</v>
      </c>
      <c r="D320" t="s">
        <v>432</v>
      </c>
      <c r="E320" s="2" t="s">
        <v>175</v>
      </c>
      <c r="F320" t="s">
        <v>14</v>
      </c>
      <c r="H320" s="2" t="s">
        <v>68</v>
      </c>
      <c r="I320" s="2" t="s">
        <v>121</v>
      </c>
      <c r="J320" s="2" t="s">
        <v>82</v>
      </c>
      <c r="K320" s="2" t="s">
        <v>131</v>
      </c>
      <c r="L320" s="2" t="s">
        <v>170</v>
      </c>
      <c r="M320" s="2"/>
      <c r="N320" s="2" t="s">
        <v>171</v>
      </c>
      <c r="O320" s="2" t="s">
        <v>176</v>
      </c>
    </row>
    <row r="321" spans="1:15" ht="25.5">
      <c r="A321" s="6" t="s">
        <v>414</v>
      </c>
      <c r="B321" t="str">
        <f>HYPERLINK("https://www.onsemi.com/PowerSolutions/product.do?id=74LCXZ16245","74LCXZ16245")</f>
        <v>74LCXZ16245</v>
      </c>
      <c r="C321" t="str">
        <f>HYPERLINK("https://www.onsemi.com/pub/Collateral/74LCXZ16245-D.pdf","74LCXZ16245/D (198kB)")</f>
        <v>74LCXZ16245/D (198kB)</v>
      </c>
      <c r="D321" t="s">
        <v>418</v>
      </c>
      <c r="E321" s="2" t="s">
        <v>23</v>
      </c>
      <c r="F321" t="s">
        <v>14</v>
      </c>
      <c r="H321" s="2" t="s">
        <v>72</v>
      </c>
      <c r="I321" s="2" t="s">
        <v>121</v>
      </c>
      <c r="J321" s="2" t="s">
        <v>186</v>
      </c>
      <c r="K321" s="2" t="s">
        <v>131</v>
      </c>
      <c r="L321" s="2" t="s">
        <v>71</v>
      </c>
      <c r="M321" s="2"/>
      <c r="N321" s="2" t="s">
        <v>86</v>
      </c>
      <c r="O321" s="2" t="s">
        <v>154</v>
      </c>
    </row>
    <row r="322" spans="1:15" ht="25.5">
      <c r="A322" s="6" t="s">
        <v>416</v>
      </c>
      <c r="B322" t="str">
        <f>HYPERLINK("https://www.onsemi.com/PowerSolutions/product.do?id=74LVT162245","74LVT162245")</f>
        <v>74LVT162245</v>
      </c>
      <c r="C322" t="str">
        <f>HYPERLINK("https://www.onsemi.com/pub/Collateral/74LVT162245-D.pdf","74LVT162245/D (216kB)")</f>
        <v>74LVT162245/D (216kB)</v>
      </c>
      <c r="D322" t="s">
        <v>433</v>
      </c>
      <c r="E322" s="2" t="s">
        <v>23</v>
      </c>
      <c r="F322" t="s">
        <v>14</v>
      </c>
      <c r="H322" s="2" t="s">
        <v>72</v>
      </c>
      <c r="I322" s="2" t="s">
        <v>121</v>
      </c>
      <c r="J322" s="2" t="s">
        <v>186</v>
      </c>
      <c r="K322" s="2" t="s">
        <v>131</v>
      </c>
      <c r="L322" s="2" t="s">
        <v>159</v>
      </c>
      <c r="M322" s="2"/>
      <c r="N322" s="2" t="s">
        <v>191</v>
      </c>
      <c r="O322" s="2" t="s">
        <v>154</v>
      </c>
    </row>
    <row r="323" spans="1:15" ht="25.5">
      <c r="A323" s="6" t="s">
        <v>414</v>
      </c>
      <c r="B323" t="str">
        <f>HYPERLINK("https://www.onsemi.com/PowerSolutions/product.do?id=74LVT245","74LVT245")</f>
        <v>74LVT245</v>
      </c>
      <c r="C323" t="str">
        <f>HYPERLINK("https://www.onsemi.com/pub/Collateral/74LVTH245-D.pdf","74LVTH245/D (446kB)")</f>
        <v>74LVTH245/D (446kB)</v>
      </c>
      <c r="D323" t="s">
        <v>434</v>
      </c>
      <c r="E323" s="2" t="s">
        <v>23</v>
      </c>
      <c r="F323" t="s">
        <v>14</v>
      </c>
      <c r="H323" s="2" t="s">
        <v>68</v>
      </c>
      <c r="I323" s="2" t="s">
        <v>121</v>
      </c>
      <c r="J323" s="2" t="s">
        <v>186</v>
      </c>
      <c r="K323" s="2" t="s">
        <v>131</v>
      </c>
      <c r="L323" s="2" t="s">
        <v>207</v>
      </c>
      <c r="M323" s="2"/>
      <c r="N323" s="2" t="s">
        <v>191</v>
      </c>
      <c r="O323" s="2" t="s">
        <v>152</v>
      </c>
    </row>
    <row r="324" spans="1:15">
      <c r="A324" s="6" t="s">
        <v>416</v>
      </c>
      <c r="B324" t="str">
        <f>HYPERLINK("https://www.onsemi.com/PowerSolutions/product.do?id=74LVTH2245","74LVTH2245")</f>
        <v>74LVTH2245</v>
      </c>
      <c r="C324" t="str">
        <f>HYPERLINK("https://www.onsemi.com/pub/Collateral/74LVTH2245-D.pdf","74LVTH2245/D (413kB)")</f>
        <v>74LVTH2245/D (413kB)</v>
      </c>
      <c r="D324" t="s">
        <v>435</v>
      </c>
      <c r="E324" s="2" t="s">
        <v>175</v>
      </c>
      <c r="F324" t="s">
        <v>14</v>
      </c>
      <c r="H324" s="2" t="s">
        <v>68</v>
      </c>
      <c r="I324" s="2" t="s">
        <v>121</v>
      </c>
      <c r="J324" s="2" t="s">
        <v>186</v>
      </c>
      <c r="K324" s="2" t="s">
        <v>131</v>
      </c>
      <c r="L324" s="2" t="s">
        <v>159</v>
      </c>
      <c r="M324" s="2"/>
      <c r="N324" s="2" t="s">
        <v>191</v>
      </c>
      <c r="O324" s="2" t="s">
        <v>176</v>
      </c>
    </row>
    <row r="325" spans="1:15">
      <c r="A325" s="6" t="s">
        <v>414</v>
      </c>
      <c r="B325" t="str">
        <f>HYPERLINK("https://www.onsemi.com/PowerSolutions/product.do?id=74LVTH245","74LVTH245")</f>
        <v>74LVTH245</v>
      </c>
      <c r="C325" t="str">
        <f>HYPERLINK("https://www.onsemi.com/pub/Collateral/74LVTH245-D.pdf","74LVTH245/D (446kB)")</f>
        <v>74LVTH245/D (446kB)</v>
      </c>
      <c r="D325" t="s">
        <v>434</v>
      </c>
      <c r="E325" s="2" t="s">
        <v>175</v>
      </c>
      <c r="F325" t="s">
        <v>14</v>
      </c>
      <c r="H325" s="2" t="s">
        <v>68</v>
      </c>
      <c r="I325" s="2" t="s">
        <v>121</v>
      </c>
      <c r="J325" s="2" t="s">
        <v>186</v>
      </c>
      <c r="K325" s="2" t="s">
        <v>131</v>
      </c>
      <c r="L325" s="2" t="s">
        <v>159</v>
      </c>
      <c r="M325" s="2"/>
      <c r="N325" s="2" t="s">
        <v>191</v>
      </c>
      <c r="O325" s="2" t="s">
        <v>176</v>
      </c>
    </row>
    <row r="326" spans="1:15" ht="25.5">
      <c r="A326" s="6" t="s">
        <v>416</v>
      </c>
      <c r="B326" t="str">
        <f>HYPERLINK("https://www.onsemi.com/PowerSolutions/product.do?id=74LVX161284","74LVX161284")</f>
        <v>74LVX161284</v>
      </c>
      <c r="C326" t="str">
        <f>HYPERLINK("https://www.onsemi.com/pub/Collateral/74LVX161284-D.pdf","74LVX161284/D (233kB)")</f>
        <v>74LVX161284/D (233kB)</v>
      </c>
      <c r="D326" t="s">
        <v>436</v>
      </c>
      <c r="E326" s="2" t="s">
        <v>23</v>
      </c>
      <c r="F326" t="s">
        <v>14</v>
      </c>
      <c r="H326" s="2" t="s">
        <v>437</v>
      </c>
      <c r="I326" s="2" t="s">
        <v>121</v>
      </c>
      <c r="J326" s="2" t="s">
        <v>16</v>
      </c>
      <c r="K326" s="2" t="s">
        <v>131</v>
      </c>
      <c r="L326" s="2" t="s">
        <v>438</v>
      </c>
      <c r="M326" s="2"/>
      <c r="N326" s="2" t="s">
        <v>439</v>
      </c>
      <c r="O326" s="2" t="s">
        <v>154</v>
      </c>
    </row>
    <row r="327" spans="1:15" ht="25.5">
      <c r="A327" s="6" t="s">
        <v>414</v>
      </c>
      <c r="B327" t="str">
        <f>HYPERLINK("https://www.onsemi.com/PowerSolutions/product.do?id=74LVX245","74LVX245")</f>
        <v>74LVX245</v>
      </c>
      <c r="C327" t="str">
        <f>HYPERLINK("https://www.onsemi.com/pub/Collateral/74LVX245-D.pdf","74LVX245/D (206kB)")</f>
        <v>74LVX245/D (206kB)</v>
      </c>
      <c r="D327" t="s">
        <v>440</v>
      </c>
      <c r="E327" s="2" t="s">
        <v>23</v>
      </c>
      <c r="F327" t="s">
        <v>14</v>
      </c>
      <c r="H327" s="2" t="s">
        <v>68</v>
      </c>
      <c r="I327" s="2" t="s">
        <v>121</v>
      </c>
      <c r="J327" s="2" t="s">
        <v>82</v>
      </c>
      <c r="K327" s="2" t="s">
        <v>131</v>
      </c>
      <c r="L327" s="2" t="s">
        <v>441</v>
      </c>
      <c r="M327" s="2"/>
      <c r="N327" s="2" t="s">
        <v>108</v>
      </c>
      <c r="O327" s="2" t="s">
        <v>152</v>
      </c>
    </row>
    <row r="328" spans="1:15" ht="25.5">
      <c r="A328" s="6" t="s">
        <v>414</v>
      </c>
      <c r="B328" t="str">
        <f>HYPERLINK("https://www.onsemi.com/PowerSolutions/product.do?id=74LVXC3245","74LVXC3245")</f>
        <v>74LVXC3245</v>
      </c>
      <c r="C328" t="str">
        <f>HYPERLINK("https://www.onsemi.com/pub/Collateral/74LVXC3245-D.pdf","74LVXC3245/D (364kB)")</f>
        <v>74LVXC3245/D (364kB)</v>
      </c>
      <c r="D328" t="s">
        <v>442</v>
      </c>
      <c r="E328" s="2" t="s">
        <v>23</v>
      </c>
      <c r="F328" t="s">
        <v>14</v>
      </c>
      <c r="H328" s="2" t="s">
        <v>68</v>
      </c>
      <c r="I328" s="2" t="s">
        <v>121</v>
      </c>
      <c r="J328" s="2" t="s">
        <v>16</v>
      </c>
      <c r="K328" s="2" t="s">
        <v>89</v>
      </c>
      <c r="L328" s="2" t="s">
        <v>68</v>
      </c>
      <c r="M328" s="2"/>
      <c r="N328" s="2" t="s">
        <v>86</v>
      </c>
      <c r="O328" s="2" t="s">
        <v>443</v>
      </c>
    </row>
    <row r="329" spans="1:15" ht="25.5">
      <c r="A329" s="6" t="s">
        <v>414</v>
      </c>
      <c r="B329" t="str">
        <f>HYPERLINK("https://www.onsemi.com/PowerSolutions/product.do?id=74VCX16245","74VCX16245")</f>
        <v>74VCX16245</v>
      </c>
      <c r="C329" t="str">
        <f>HYPERLINK("https://www.onsemi.com/pub/Collateral/74VCX16245-D.pdf","74VCX16245/D (263kB)")</f>
        <v>74VCX16245/D (263kB)</v>
      </c>
      <c r="D329" t="s">
        <v>444</v>
      </c>
      <c r="E329" s="2" t="s">
        <v>23</v>
      </c>
      <c r="F329" t="s">
        <v>14</v>
      </c>
      <c r="H329" s="2" t="s">
        <v>72</v>
      </c>
      <c r="I329" s="2" t="s">
        <v>121</v>
      </c>
      <c r="J329" s="2" t="s">
        <v>127</v>
      </c>
      <c r="K329" s="2" t="s">
        <v>131</v>
      </c>
      <c r="L329" s="2" t="s">
        <v>359</v>
      </c>
      <c r="M329" s="2"/>
      <c r="N329" s="2" t="s">
        <v>86</v>
      </c>
      <c r="O329" s="2" t="s">
        <v>154</v>
      </c>
    </row>
    <row r="330" spans="1:15" ht="25.5">
      <c r="A330" s="6" t="s">
        <v>414</v>
      </c>
      <c r="B330" t="str">
        <f>HYPERLINK("https://www.onsemi.com/PowerSolutions/product.do?id=74VCX245","74VCX245")</f>
        <v>74VCX245</v>
      </c>
      <c r="C330" t="str">
        <f>HYPERLINK("https://www.onsemi.com/pub/Collateral/74VCX245-D.pdf","74VCX245/D (689kB)")</f>
        <v>74VCX245/D (689kB)</v>
      </c>
      <c r="D330" t="s">
        <v>445</v>
      </c>
      <c r="E330" s="2" t="s">
        <v>23</v>
      </c>
      <c r="F330" t="s">
        <v>14</v>
      </c>
      <c r="H330" s="2" t="s">
        <v>68</v>
      </c>
      <c r="I330" s="2" t="s">
        <v>121</v>
      </c>
      <c r="J330" s="2" t="s">
        <v>345</v>
      </c>
      <c r="K330" s="2" t="s">
        <v>131</v>
      </c>
      <c r="L330" s="2" t="s">
        <v>71</v>
      </c>
      <c r="M330" s="2"/>
      <c r="N330" s="2" t="s">
        <v>86</v>
      </c>
      <c r="O330" s="2" t="s">
        <v>446</v>
      </c>
    </row>
    <row r="331" spans="1:15" ht="38.25">
      <c r="A331" s="6" t="s">
        <v>414</v>
      </c>
      <c r="B331" t="str">
        <f>HYPERLINK("https://www.onsemi.com/PowerSolutions/product.do?id=74VHC245","74VHC245")</f>
        <v>74VHC245</v>
      </c>
      <c r="C331" t="str">
        <f>HYPERLINK("https://www.onsemi.com/pub/Collateral/74VHC245-D.pdf","74VHC245/D (217kB)")</f>
        <v>74VHC245/D (217kB)</v>
      </c>
      <c r="D331" t="s">
        <v>447</v>
      </c>
      <c r="E331" s="2" t="s">
        <v>23</v>
      </c>
      <c r="F331" t="s">
        <v>14</v>
      </c>
      <c r="H331" s="2" t="s">
        <v>68</v>
      </c>
      <c r="I331" s="2" t="s">
        <v>121</v>
      </c>
      <c r="J331" s="2" t="s">
        <v>82</v>
      </c>
      <c r="K331" s="2" t="s">
        <v>89</v>
      </c>
      <c r="L331" s="2" t="s">
        <v>118</v>
      </c>
      <c r="M331" s="2"/>
      <c r="N331" s="2" t="s">
        <v>68</v>
      </c>
      <c r="O331" s="2" t="s">
        <v>178</v>
      </c>
    </row>
    <row r="332" spans="1:15" ht="25.5">
      <c r="A332" s="6" t="s">
        <v>448</v>
      </c>
      <c r="B332" t="str">
        <f>HYPERLINK("https://www.onsemi.com/PowerSolutions/product.do?id=FST3126","FST3126")</f>
        <v>FST3126</v>
      </c>
      <c r="C332" t="str">
        <f>HYPERLINK("https://www.onsemi.com/pub/Collateral/FST3126-D.PDF","FST3126/D (77kB)")</f>
        <v>FST3126/D (77kB)</v>
      </c>
      <c r="D332" t="s">
        <v>449</v>
      </c>
      <c r="E332" s="2" t="s">
        <v>23</v>
      </c>
      <c r="F332" t="s">
        <v>14</v>
      </c>
      <c r="H332" s="2" t="s">
        <v>108</v>
      </c>
      <c r="I332" s="2" t="s">
        <v>121</v>
      </c>
      <c r="J332" s="2" t="s">
        <v>108</v>
      </c>
      <c r="K332" s="2" t="s">
        <v>89</v>
      </c>
      <c r="L332" s="2" t="s">
        <v>182</v>
      </c>
      <c r="M332" s="2"/>
      <c r="N332" s="2" t="s">
        <v>193</v>
      </c>
      <c r="O332" s="2" t="s">
        <v>69</v>
      </c>
    </row>
    <row r="333" spans="1:15" ht="25.5">
      <c r="A333" s="6" t="s">
        <v>414</v>
      </c>
      <c r="B333" t="str">
        <f>HYPERLINK("https://www.onsemi.com/PowerSolutions/product.do?id=MC74AC245","MC74AC245")</f>
        <v>MC74AC245</v>
      </c>
      <c r="C333" t="str">
        <f>HYPERLINK("https://www.onsemi.com/pub/Collateral/MC74AC245-D.PDF","MC74AC245/D (93kB)")</f>
        <v>MC74AC245/D (93kB)</v>
      </c>
      <c r="D333" t="s">
        <v>450</v>
      </c>
      <c r="E333" s="2" t="s">
        <v>23</v>
      </c>
      <c r="F333" t="s">
        <v>14</v>
      </c>
      <c r="H333" s="2" t="s">
        <v>68</v>
      </c>
      <c r="I333" s="2" t="s">
        <v>121</v>
      </c>
      <c r="J333" s="2" t="s">
        <v>82</v>
      </c>
      <c r="K333" s="2" t="s">
        <v>451</v>
      </c>
      <c r="L333" s="2" t="s">
        <v>168</v>
      </c>
      <c r="M333" s="2"/>
      <c r="N333" s="2" t="s">
        <v>86</v>
      </c>
      <c r="O333" s="2" t="s">
        <v>152</v>
      </c>
    </row>
    <row r="334" spans="1:15" ht="25.5">
      <c r="A334" s="6" t="s">
        <v>416</v>
      </c>
      <c r="B334" t="str">
        <f>HYPERLINK("https://www.onsemi.com/PowerSolutions/product.do?id=MC74AC646","MC74AC646")</f>
        <v>MC74AC646</v>
      </c>
      <c r="C334" t="str">
        <f>HYPERLINK("https://www.onsemi.com/pub/Collateral/MC74AC646-D.PDF","MC74AC646/D (91kB)")</f>
        <v>MC74AC646/D (91kB)</v>
      </c>
      <c r="D334" t="s">
        <v>452</v>
      </c>
      <c r="E334" s="2" t="s">
        <v>23</v>
      </c>
      <c r="F334" t="s">
        <v>14</v>
      </c>
      <c r="H334" s="2" t="s">
        <v>68</v>
      </c>
      <c r="I334" s="2" t="s">
        <v>121</v>
      </c>
      <c r="J334" s="2" t="s">
        <v>82</v>
      </c>
      <c r="K334" s="2" t="s">
        <v>83</v>
      </c>
      <c r="L334" s="2" t="s">
        <v>171</v>
      </c>
      <c r="M334" s="2"/>
      <c r="N334" s="2" t="s">
        <v>86</v>
      </c>
      <c r="O334" s="2" t="s">
        <v>453</v>
      </c>
    </row>
    <row r="335" spans="1:15" ht="25.5">
      <c r="A335" s="6" t="s">
        <v>448</v>
      </c>
      <c r="B335" t="str">
        <f>HYPERLINK("https://www.onsemi.com/PowerSolutions/product.do?id=MC74AC652","MC74AC652")</f>
        <v>MC74AC652</v>
      </c>
      <c r="C335" t="str">
        <f>HYPERLINK("https://www.onsemi.com/pub/Collateral/MC74AC652-D.PDF","MC74AC652/D (88kB)")</f>
        <v>MC74AC652/D (88kB)</v>
      </c>
      <c r="D335" t="s">
        <v>452</v>
      </c>
      <c r="E335" s="2" t="s">
        <v>23</v>
      </c>
      <c r="F335" t="s">
        <v>14</v>
      </c>
      <c r="H335" s="2" t="s">
        <v>68</v>
      </c>
      <c r="I335" s="2" t="s">
        <v>121</v>
      </c>
      <c r="J335" s="2" t="s">
        <v>82</v>
      </c>
      <c r="K335" s="2" t="s">
        <v>83</v>
      </c>
      <c r="L335" s="2" t="s">
        <v>171</v>
      </c>
      <c r="M335" s="2"/>
      <c r="N335" s="2" t="s">
        <v>86</v>
      </c>
      <c r="O335" t="s">
        <v>139</v>
      </c>
    </row>
    <row r="336" spans="1:15" ht="25.5">
      <c r="A336" s="6" t="s">
        <v>414</v>
      </c>
      <c r="B336" t="str">
        <f>HYPERLINK("https://www.onsemi.com/PowerSolutions/product.do?id=MC74ACT245","MC74ACT245")</f>
        <v>MC74ACT245</v>
      </c>
      <c r="C336" t="str">
        <f>HYPERLINK("https://www.onsemi.com/pub/Collateral/MC74AC245-D.PDF","MC74AC245/D (93kB)")</f>
        <v>MC74AC245/D (93kB)</v>
      </c>
      <c r="D336" t="s">
        <v>450</v>
      </c>
      <c r="E336" s="2" t="s">
        <v>23</v>
      </c>
      <c r="F336" t="s">
        <v>14</v>
      </c>
      <c r="H336" s="2" t="s">
        <v>68</v>
      </c>
      <c r="I336" s="2" t="s">
        <v>121</v>
      </c>
      <c r="J336" s="2" t="s">
        <v>71</v>
      </c>
      <c r="K336" s="2" t="s">
        <v>89</v>
      </c>
      <c r="L336" s="2" t="s">
        <v>68</v>
      </c>
      <c r="M336" s="2"/>
      <c r="N336" s="2" t="s">
        <v>86</v>
      </c>
      <c r="O336" s="2" t="s">
        <v>152</v>
      </c>
    </row>
    <row r="337" spans="1:15" ht="25.5">
      <c r="A337" s="6" t="s">
        <v>448</v>
      </c>
      <c r="B337" t="str">
        <f>HYPERLINK("https://www.onsemi.com/PowerSolutions/product.do?id=MC74ACT640","MC74ACT640")</f>
        <v>MC74ACT640</v>
      </c>
      <c r="C337" t="str">
        <f>HYPERLINK("https://www.onsemi.com/pub/Collateral/MC74ACT640-D.PDF","MC74ACT640/D (71kB)")</f>
        <v>MC74ACT640/D (71kB)</v>
      </c>
      <c r="D337" t="s">
        <v>454</v>
      </c>
      <c r="E337" s="2" t="s">
        <v>23</v>
      </c>
      <c r="F337" t="s">
        <v>14</v>
      </c>
      <c r="H337" s="2" t="s">
        <v>68</v>
      </c>
      <c r="I337" s="2" t="s">
        <v>121</v>
      </c>
      <c r="J337" s="2" t="s">
        <v>71</v>
      </c>
      <c r="K337" s="2" t="s">
        <v>89</v>
      </c>
      <c r="L337" s="2" t="s">
        <v>68</v>
      </c>
      <c r="M337" s="2"/>
      <c r="N337" s="2" t="s">
        <v>86</v>
      </c>
      <c r="O337" s="2" t="s">
        <v>150</v>
      </c>
    </row>
    <row r="338" spans="1:15" ht="25.5">
      <c r="A338" s="6" t="s">
        <v>414</v>
      </c>
      <c r="B338" t="str">
        <f>HYPERLINK("https://www.onsemi.com/PowerSolutions/product.do?id=MC74ACT646","MC74ACT646")</f>
        <v>MC74ACT646</v>
      </c>
      <c r="C338" t="str">
        <f>HYPERLINK("https://www.onsemi.com/pub/Collateral/MC74AC646-D.PDF","MC74AC646/D (91kB)")</f>
        <v>MC74AC646/D (91kB)</v>
      </c>
      <c r="D338" t="s">
        <v>455</v>
      </c>
      <c r="E338" s="2" t="s">
        <v>23</v>
      </c>
      <c r="F338" t="s">
        <v>14</v>
      </c>
      <c r="H338" s="2" t="s">
        <v>68</v>
      </c>
      <c r="I338" s="2" t="s">
        <v>121</v>
      </c>
      <c r="J338" s="2" t="s">
        <v>71</v>
      </c>
      <c r="K338" s="2" t="s">
        <v>89</v>
      </c>
      <c r="L338" s="2" t="s">
        <v>456</v>
      </c>
      <c r="M338" s="2"/>
      <c r="N338" s="2" t="s">
        <v>86</v>
      </c>
      <c r="O338" s="2" t="s">
        <v>453</v>
      </c>
    </row>
    <row r="339" spans="1:15" ht="25.5">
      <c r="A339" s="6" t="s">
        <v>448</v>
      </c>
      <c r="B339" t="str">
        <f>HYPERLINK("https://www.onsemi.com/PowerSolutions/product.do?id=MC74ACT652","MC74ACT652")</f>
        <v>MC74ACT652</v>
      </c>
      <c r="C339" t="str">
        <f>HYPERLINK("https://www.onsemi.com/pub/Collateral/MC74AC652-D.PDF","MC74AC652/D (88kB)")</f>
        <v>MC74AC652/D (88kB)</v>
      </c>
      <c r="D339" t="s">
        <v>455</v>
      </c>
      <c r="E339" s="2" t="s">
        <v>23</v>
      </c>
      <c r="F339" t="s">
        <v>14</v>
      </c>
      <c r="H339" s="2" t="s">
        <v>68</v>
      </c>
      <c r="I339" s="2" t="s">
        <v>121</v>
      </c>
      <c r="J339" s="2" t="s">
        <v>71</v>
      </c>
      <c r="K339" s="2" t="s">
        <v>89</v>
      </c>
      <c r="L339" s="2" t="s">
        <v>456</v>
      </c>
      <c r="M339" s="2"/>
      <c r="N339" s="2" t="s">
        <v>86</v>
      </c>
      <c r="O339" s="2" t="s">
        <v>453</v>
      </c>
    </row>
    <row r="340" spans="1:15" ht="51">
      <c r="A340" s="6" t="s">
        <v>414</v>
      </c>
      <c r="B340" t="str">
        <f>HYPERLINK("https://www.onsemi.com/PowerSolutions/product.do?id=MC74HC245A","MC74HC245A")</f>
        <v>MC74HC245A</v>
      </c>
      <c r="C340" t="str">
        <f>HYPERLINK("https://www.onsemi.com/pub/Collateral/MC74HC245A-D.PDF","MC74HC245A/D (86kB)")</f>
        <v>MC74HC245A/D (86kB)</v>
      </c>
      <c r="D340" t="s">
        <v>457</v>
      </c>
      <c r="E340" s="2" t="s">
        <v>13</v>
      </c>
      <c r="F340" t="s">
        <v>14</v>
      </c>
      <c r="H340" s="2" t="s">
        <v>68</v>
      </c>
      <c r="I340" s="2" t="s">
        <v>121</v>
      </c>
      <c r="J340" s="2" t="s">
        <v>82</v>
      </c>
      <c r="K340" s="2" t="s">
        <v>83</v>
      </c>
      <c r="L340" s="2" t="s">
        <v>229</v>
      </c>
      <c r="M340" s="2"/>
      <c r="N340" s="2" t="s">
        <v>83</v>
      </c>
      <c r="O340" s="2" t="s">
        <v>152</v>
      </c>
    </row>
    <row r="341" spans="1:15" ht="51">
      <c r="A341" s="6" t="s">
        <v>448</v>
      </c>
      <c r="B341" t="str">
        <f>HYPERLINK("https://www.onsemi.com/PowerSolutions/product.do?id=MC74HCT245A","MC74HCT245A")</f>
        <v>MC74HCT245A</v>
      </c>
      <c r="C341" t="str">
        <f>HYPERLINK("https://www.onsemi.com/pub/Collateral/MC74HCT245A-D.PDF","MC74HCT245A/D (147.0kB)")</f>
        <v>MC74HCT245A/D (147.0kB)</v>
      </c>
      <c r="D341" t="s">
        <v>458</v>
      </c>
      <c r="E341" s="2" t="s">
        <v>13</v>
      </c>
      <c r="F341" t="s">
        <v>14</v>
      </c>
      <c r="H341" s="2" t="s">
        <v>68</v>
      </c>
      <c r="I341" s="2" t="s">
        <v>121</v>
      </c>
      <c r="J341" s="2" t="s">
        <v>71</v>
      </c>
      <c r="K341" s="2" t="s">
        <v>89</v>
      </c>
      <c r="L341" s="2" t="s">
        <v>93</v>
      </c>
      <c r="M341" s="2"/>
      <c r="N341" s="2" t="s">
        <v>83</v>
      </c>
      <c r="O341" s="2" t="s">
        <v>152</v>
      </c>
    </row>
    <row r="342" spans="1:15" ht="25.5">
      <c r="A342" s="6" t="s">
        <v>414</v>
      </c>
      <c r="B342" t="str">
        <f>HYPERLINK("https://www.onsemi.com/PowerSolutions/product.do?id=MC74LCX16245","MC74LCX16245")</f>
        <v>MC74LCX16245</v>
      </c>
      <c r="C342" t="str">
        <f>HYPERLINK("https://www.onsemi.com/pub/Collateral/MC74LCX16245-D.PDF","MC74LCX16245/D (123.0kB)")</f>
        <v>MC74LCX16245/D (123.0kB)</v>
      </c>
      <c r="D342" t="s">
        <v>459</v>
      </c>
      <c r="E342" s="2" t="s">
        <v>23</v>
      </c>
      <c r="F342" t="s">
        <v>14</v>
      </c>
      <c r="H342" s="2" t="s">
        <v>72</v>
      </c>
      <c r="I342" s="2" t="s">
        <v>121</v>
      </c>
      <c r="J342" s="2" t="s">
        <v>82</v>
      </c>
      <c r="K342" s="2" t="s">
        <v>131</v>
      </c>
      <c r="L342" s="2" t="s">
        <v>97</v>
      </c>
      <c r="M342" s="2"/>
      <c r="N342" s="2" t="s">
        <v>86</v>
      </c>
      <c r="O342" s="2" t="s">
        <v>154</v>
      </c>
    </row>
    <row r="343" spans="1:15" ht="51">
      <c r="A343" s="6" t="s">
        <v>414</v>
      </c>
      <c r="B343" t="str">
        <f>HYPERLINK("https://www.onsemi.com/PowerSolutions/product.do?id=MC74LCX245","MC74LCX245")</f>
        <v>MC74LCX245</v>
      </c>
      <c r="C343" t="str">
        <f>HYPERLINK("https://www.onsemi.com/pub/Collateral/MC74LCX245-D.PDF","MC74LCX245/D (140.0kB)")</f>
        <v>MC74LCX245/D (140.0kB)</v>
      </c>
      <c r="D343" t="s">
        <v>460</v>
      </c>
      <c r="E343" s="2" t="s">
        <v>13</v>
      </c>
      <c r="F343" t="s">
        <v>14</v>
      </c>
      <c r="H343" s="2" t="s">
        <v>68</v>
      </c>
      <c r="I343" s="2" t="s">
        <v>461</v>
      </c>
      <c r="J343" s="2" t="s">
        <v>82</v>
      </c>
      <c r="K343" s="2" t="s">
        <v>131</v>
      </c>
      <c r="L343" s="2" t="s">
        <v>148</v>
      </c>
      <c r="M343" s="2"/>
      <c r="N343" s="2" t="s">
        <v>86</v>
      </c>
      <c r="O343" s="2" t="s">
        <v>257</v>
      </c>
    </row>
    <row r="344" spans="1:15" ht="25.5">
      <c r="A344" s="6" t="s">
        <v>448</v>
      </c>
      <c r="B344" t="str">
        <f>HYPERLINK("https://www.onsemi.com/PowerSolutions/product.do?id=MC74LVX245","MC74LVX245")</f>
        <v>MC74LVX245</v>
      </c>
      <c r="C344" t="str">
        <f>HYPERLINK("https://www.onsemi.com/pub/Collateral/MC74LVX245-D.PDF","MC74LVX245/D (110kB)")</f>
        <v>MC74LVX245/D (110kB)</v>
      </c>
      <c r="D344" t="s">
        <v>462</v>
      </c>
      <c r="E344" s="2" t="s">
        <v>23</v>
      </c>
      <c r="F344" t="s">
        <v>14</v>
      </c>
      <c r="H344" s="2" t="s">
        <v>68</v>
      </c>
      <c r="I344" s="2" t="s">
        <v>121</v>
      </c>
      <c r="J344" s="2" t="s">
        <v>82</v>
      </c>
      <c r="K344" s="2" t="s">
        <v>131</v>
      </c>
      <c r="L344" s="2" t="s">
        <v>441</v>
      </c>
      <c r="M344" s="2"/>
      <c r="N344" s="2" t="s">
        <v>108</v>
      </c>
      <c r="O344" s="2" t="s">
        <v>152</v>
      </c>
    </row>
    <row r="345" spans="1:15" ht="51">
      <c r="A345" s="6" t="s">
        <v>414</v>
      </c>
      <c r="B345" t="str">
        <f>HYPERLINK("https://www.onsemi.com/PowerSolutions/product.do?id=MC74LVX4245","MC74LVX4245")</f>
        <v>MC74LVX4245</v>
      </c>
      <c r="C345" t="str">
        <f>HYPERLINK("https://www.onsemi.com/pub/Collateral/MC74LVX4245-D.PDF","MC74LVX4245/D (98kB)")</f>
        <v>MC74LVX4245/D (98kB)</v>
      </c>
      <c r="D345" t="s">
        <v>463</v>
      </c>
      <c r="E345" s="2" t="s">
        <v>13</v>
      </c>
      <c r="F345" t="s">
        <v>14</v>
      </c>
      <c r="H345" s="2" t="s">
        <v>68</v>
      </c>
      <c r="I345" s="2" t="s">
        <v>121</v>
      </c>
      <c r="J345" s="2" t="s">
        <v>186</v>
      </c>
      <c r="K345" s="2" t="s">
        <v>131</v>
      </c>
      <c r="L345" s="2" t="s">
        <v>221</v>
      </c>
      <c r="M345" s="2"/>
      <c r="N345" s="2" t="s">
        <v>86</v>
      </c>
      <c r="O345" s="2" t="s">
        <v>426</v>
      </c>
    </row>
    <row r="346" spans="1:15" ht="25.5">
      <c r="A346" s="6" t="s">
        <v>464</v>
      </c>
      <c r="B346" t="str">
        <f>HYPERLINK("https://www.onsemi.com/PowerSolutions/product.do?id=MC74LVXC3245","MC74LVXC3245")</f>
        <v>MC74LVXC3245</v>
      </c>
      <c r="C346" t="str">
        <f>HYPERLINK("https://www.onsemi.com/pub/Collateral/MC74LVXC3245-D.PDF","MC74LVXC3245/D (97kB)")</f>
        <v>MC74LVXC3245/D (97kB)</v>
      </c>
      <c r="D346" t="s">
        <v>465</v>
      </c>
      <c r="E346" s="2" t="s">
        <v>23</v>
      </c>
      <c r="F346" t="s">
        <v>14</v>
      </c>
      <c r="H346" s="2" t="s">
        <v>68</v>
      </c>
      <c r="I346" s="2" t="s">
        <v>121</v>
      </c>
      <c r="J346" s="2" t="s">
        <v>342</v>
      </c>
      <c r="K346" s="2" t="s">
        <v>131</v>
      </c>
      <c r="L346" s="2" t="s">
        <v>47</v>
      </c>
      <c r="M346" s="2"/>
      <c r="N346" s="2" t="s">
        <v>86</v>
      </c>
      <c r="O346" s="2" t="s">
        <v>466</v>
      </c>
    </row>
    <row r="347" spans="1:15" ht="25.5">
      <c r="A347" s="6" t="s">
        <v>464</v>
      </c>
      <c r="B347" t="str">
        <f>HYPERLINK("https://www.onsemi.com/PowerSolutions/product.do?id=MC74VHC245","MC74VHC245")</f>
        <v>MC74VHC245</v>
      </c>
      <c r="C347" t="str">
        <f>HYPERLINK("https://www.onsemi.com/pub/Collateral/MC74VHC245-D.PDF","MC74VHC245/D (131.0kB)")</f>
        <v>MC74VHC245/D (131.0kB)</v>
      </c>
      <c r="D347" t="s">
        <v>462</v>
      </c>
      <c r="E347" s="2" t="s">
        <v>23</v>
      </c>
      <c r="F347" t="s">
        <v>14</v>
      </c>
      <c r="H347" s="2" t="s">
        <v>68</v>
      </c>
      <c r="I347" s="2" t="s">
        <v>121</v>
      </c>
      <c r="J347" s="2" t="s">
        <v>82</v>
      </c>
      <c r="K347" s="2" t="s">
        <v>89</v>
      </c>
      <c r="L347" s="2" t="s">
        <v>118</v>
      </c>
      <c r="M347" s="2"/>
      <c r="N347" s="2" t="s">
        <v>68</v>
      </c>
      <c r="O347" s="2" t="s">
        <v>152</v>
      </c>
    </row>
    <row r="348" spans="1:15" ht="25.5">
      <c r="A348" s="6" t="s">
        <v>414</v>
      </c>
      <c r="B348" t="str">
        <f>HYPERLINK("https://www.onsemi.com/PowerSolutions/product.do?id=MC74VHCT245A","MC74VHCT245A")</f>
        <v>MC74VHCT245A</v>
      </c>
      <c r="C348" t="str">
        <f>HYPERLINK("https://www.onsemi.com/pub/Collateral/MC74VHCT245A-D.PDF","MC74VHCT245A/D (94kB)")</f>
        <v>MC74VHCT245A/D (94kB)</v>
      </c>
      <c r="D348" t="s">
        <v>462</v>
      </c>
      <c r="E348" s="2" t="s">
        <v>23</v>
      </c>
      <c r="F348" t="s">
        <v>14</v>
      </c>
      <c r="H348" s="2" t="s">
        <v>68</v>
      </c>
      <c r="I348" s="2" t="s">
        <v>121</v>
      </c>
      <c r="J348" s="2" t="s">
        <v>71</v>
      </c>
      <c r="K348" s="2" t="s">
        <v>89</v>
      </c>
      <c r="L348" s="2" t="s">
        <v>467</v>
      </c>
      <c r="M348" s="2"/>
      <c r="N348" s="2" t="s">
        <v>68</v>
      </c>
      <c r="O348" s="2" t="s">
        <v>152</v>
      </c>
    </row>
    <row r="349" spans="1:15" ht="38.25">
      <c r="A349" s="6" t="s">
        <v>414</v>
      </c>
      <c r="B349" t="str">
        <f>HYPERLINK("https://www.onsemi.com/PowerSolutions/product.do?id=MM74HC245A","MM74HC245A")</f>
        <v>MM74HC245A</v>
      </c>
      <c r="C349" t="str">
        <f>HYPERLINK("https://www.onsemi.com/pub/Collateral/MM74HC245A-D.pdf","MM74HC245A/D (223kB)")</f>
        <v>MM74HC245A/D (223kB)</v>
      </c>
      <c r="D349" t="s">
        <v>468</v>
      </c>
      <c r="E349" s="2" t="s">
        <v>23</v>
      </c>
      <c r="F349" t="s">
        <v>14</v>
      </c>
      <c r="H349" s="2" t="s">
        <v>68</v>
      </c>
      <c r="I349" s="2" t="s">
        <v>121</v>
      </c>
      <c r="J349" s="2" t="s">
        <v>82</v>
      </c>
      <c r="K349" s="2" t="s">
        <v>83</v>
      </c>
      <c r="L349" s="2" t="s">
        <v>229</v>
      </c>
      <c r="M349" s="2"/>
      <c r="N349" s="2" t="s">
        <v>237</v>
      </c>
      <c r="O349" s="2" t="s">
        <v>178</v>
      </c>
    </row>
    <row r="350" spans="1:15" ht="38.25">
      <c r="A350" s="6" t="s">
        <v>448</v>
      </c>
      <c r="B350" t="str">
        <f>HYPERLINK("https://www.onsemi.com/PowerSolutions/product.do?id=MM74HCT245","MM74HCT245")</f>
        <v>MM74HCT245</v>
      </c>
      <c r="C350" t="str">
        <f>HYPERLINK("https://www.onsemi.com/pub/Collateral/MM74HCT245-D.pdf","MM74HCT245/D (224kB)")</f>
        <v>MM74HCT245/D (224kB)</v>
      </c>
      <c r="D350" t="s">
        <v>468</v>
      </c>
      <c r="E350" s="2" t="s">
        <v>23</v>
      </c>
      <c r="F350" t="s">
        <v>14</v>
      </c>
      <c r="H350" s="2" t="s">
        <v>68</v>
      </c>
      <c r="I350" s="2" t="s">
        <v>121</v>
      </c>
      <c r="J350" s="2" t="s">
        <v>71</v>
      </c>
      <c r="K350" s="2" t="s">
        <v>89</v>
      </c>
      <c r="L350" s="2" t="s">
        <v>243</v>
      </c>
      <c r="M350" s="2"/>
      <c r="N350" s="2" t="s">
        <v>200</v>
      </c>
      <c r="O350" s="2" t="s">
        <v>178</v>
      </c>
    </row>
    <row r="351" spans="1:15" ht="51">
      <c r="A351" s="7" t="s">
        <v>469</v>
      </c>
      <c r="B351" t="str">
        <f>HYPERLINK("https://www.onsemi.com/PowerSolutions/product.do?id=NL17SZ74","NL17SZ74")</f>
        <v>NL17SZ74</v>
      </c>
      <c r="C351" t="str">
        <f>HYPERLINK("https://www.onsemi.com/pub/Collateral/NL17SZ74-D.PDF","NL17SZ74/D (193kB)")</f>
        <v>NL17SZ74/D (193kB)</v>
      </c>
      <c r="D351" t="s">
        <v>470</v>
      </c>
      <c r="E351" s="2" t="s">
        <v>13</v>
      </c>
      <c r="F351" t="s">
        <v>115</v>
      </c>
      <c r="G351" s="2" t="s">
        <v>471</v>
      </c>
      <c r="H351" s="2" t="s">
        <v>116</v>
      </c>
      <c r="I351" s="2"/>
      <c r="J351" s="2" t="s">
        <v>127</v>
      </c>
      <c r="K351" s="2" t="s">
        <v>89</v>
      </c>
      <c r="L351" s="2" t="s">
        <v>151</v>
      </c>
      <c r="M351" s="2"/>
      <c r="N351" s="2" t="s">
        <v>86</v>
      </c>
      <c r="O351" s="2" t="s">
        <v>292</v>
      </c>
    </row>
    <row r="352" spans="1:15" ht="25.5">
      <c r="A352" s="7" t="s">
        <v>469</v>
      </c>
      <c r="B352" t="str">
        <f>HYPERLINK("https://www.onsemi.com/PowerSolutions/product.do?id=NL17SZ175","NL17SZ175")</f>
        <v>NL17SZ175</v>
      </c>
      <c r="C352" t="str">
        <f>HYPERLINK("https://www.onsemi.com/pub/Collateral/NL17SZ175-D.PDF","NL17SZ175/D (268kB)")</f>
        <v>NL17SZ175/D (268kB)</v>
      </c>
      <c r="D352" t="s">
        <v>472</v>
      </c>
      <c r="E352" s="2" t="s">
        <v>23</v>
      </c>
      <c r="F352" t="s">
        <v>140</v>
      </c>
      <c r="G352" s="2" t="s">
        <v>471</v>
      </c>
      <c r="H352" s="2" t="s">
        <v>116</v>
      </c>
      <c r="I352" s="2"/>
      <c r="J352" s="2" t="s">
        <v>127</v>
      </c>
      <c r="K352" s="2" t="s">
        <v>89</v>
      </c>
      <c r="L352" s="2" t="s">
        <v>133</v>
      </c>
      <c r="M352" s="2"/>
      <c r="N352" s="2" t="s">
        <v>143</v>
      </c>
      <c r="O352" s="2" t="s">
        <v>144</v>
      </c>
    </row>
    <row r="353" spans="1:15" ht="25.5">
      <c r="A353" s="7" t="s">
        <v>473</v>
      </c>
      <c r="B353" t="str">
        <f>HYPERLINK("https://www.onsemi.com/PowerSolutions/product.do?id=74LCX112","74LCX112")</f>
        <v>74LCX112</v>
      </c>
      <c r="C353" t="str">
        <f>HYPERLINK("https://www.onsemi.com/pub/Collateral/74LCX112-D.pdf","74LCX112/D (218kB)")</f>
        <v>74LCX112/D (218kB)</v>
      </c>
      <c r="D353" t="s">
        <v>474</v>
      </c>
      <c r="E353" s="2" t="s">
        <v>23</v>
      </c>
      <c r="F353" t="s">
        <v>14</v>
      </c>
      <c r="G353" s="2" t="s">
        <v>475</v>
      </c>
      <c r="H353" s="2" t="s">
        <v>82</v>
      </c>
      <c r="I353" s="2"/>
      <c r="J353" s="2" t="s">
        <v>82</v>
      </c>
      <c r="K353" s="2" t="s">
        <v>131</v>
      </c>
      <c r="L353" s="2" t="s">
        <v>118</v>
      </c>
      <c r="M353" s="2"/>
      <c r="N353" s="2" t="s">
        <v>86</v>
      </c>
      <c r="O353" s="2" t="s">
        <v>42</v>
      </c>
    </row>
    <row r="354" spans="1:15" ht="38.25">
      <c r="A354" s="7" t="s">
        <v>469</v>
      </c>
      <c r="B354" t="str">
        <f>HYPERLINK("https://www.onsemi.com/PowerSolutions/product.do?id=74LCX162374","74LCX162374")</f>
        <v>74LCX162374</v>
      </c>
      <c r="C354" t="str">
        <f>HYPERLINK("https://www.onsemi.com/pub/Collateral/74LCX162374-D.pdf","74LCX162374/D (255kB)")</f>
        <v>74LCX162374/D (255kB)</v>
      </c>
      <c r="D354" t="s">
        <v>476</v>
      </c>
      <c r="E354" s="2" t="s">
        <v>23</v>
      </c>
      <c r="F354" t="s">
        <v>14</v>
      </c>
      <c r="G354" s="2" t="s">
        <v>477</v>
      </c>
      <c r="H354" s="2" t="s">
        <v>72</v>
      </c>
      <c r="I354" s="2"/>
      <c r="J354" s="2" t="s">
        <v>82</v>
      </c>
      <c r="K354" s="2" t="s">
        <v>131</v>
      </c>
      <c r="L354" s="2" t="s">
        <v>148</v>
      </c>
      <c r="M354" s="2"/>
      <c r="N354" s="2" t="s">
        <v>171</v>
      </c>
      <c r="O354" s="2" t="s">
        <v>154</v>
      </c>
    </row>
    <row r="355" spans="1:15" ht="38.25">
      <c r="A355" s="7" t="s">
        <v>469</v>
      </c>
      <c r="B355" t="str">
        <f>HYPERLINK("https://www.onsemi.com/PowerSolutions/product.do?id=74LCX16374","74LCX16374")</f>
        <v>74LCX16374</v>
      </c>
      <c r="C355" t="str">
        <f>HYPERLINK("https://www.onsemi.com/pub/Collateral/74LCX16374-D.pdf","74LCX16374/D (252kB)")</f>
        <v>74LCX16374/D (252kB)</v>
      </c>
      <c r="D355" t="s">
        <v>478</v>
      </c>
      <c r="E355" s="2" t="s">
        <v>23</v>
      </c>
      <c r="F355" t="s">
        <v>14</v>
      </c>
      <c r="G355" s="2" t="s">
        <v>477</v>
      </c>
      <c r="H355" s="2" t="s">
        <v>72</v>
      </c>
      <c r="I355" s="2"/>
      <c r="J355" s="2" t="s">
        <v>82</v>
      </c>
      <c r="K355" s="2" t="s">
        <v>131</v>
      </c>
      <c r="L355" s="2" t="s">
        <v>148</v>
      </c>
      <c r="M355" s="2"/>
      <c r="N355" s="2" t="s">
        <v>86</v>
      </c>
      <c r="O355" s="2" t="s">
        <v>154</v>
      </c>
    </row>
    <row r="356" spans="1:15" ht="38.25">
      <c r="A356" s="7" t="s">
        <v>473</v>
      </c>
      <c r="B356" t="str">
        <f>HYPERLINK("https://www.onsemi.com/PowerSolutions/product.do?id=74LCX74","74LCX74")</f>
        <v>74LCX74</v>
      </c>
      <c r="C356" t="str">
        <f>HYPERLINK("https://www.onsemi.com/pub/Collateral/74LCX74-D.pdf","74LCX74/D (980kB)")</f>
        <v>74LCX74/D (980kB)</v>
      </c>
      <c r="D356" t="s">
        <v>479</v>
      </c>
      <c r="E356" s="2" t="s">
        <v>23</v>
      </c>
      <c r="F356" t="s">
        <v>14</v>
      </c>
      <c r="G356" s="2" t="s">
        <v>480</v>
      </c>
      <c r="H356" s="2" t="s">
        <v>82</v>
      </c>
      <c r="I356" s="2"/>
      <c r="J356" s="2" t="s">
        <v>82</v>
      </c>
      <c r="K356" s="2" t="s">
        <v>131</v>
      </c>
      <c r="L356" s="2" t="s">
        <v>148</v>
      </c>
      <c r="M356" s="2"/>
      <c r="N356" s="2" t="s">
        <v>86</v>
      </c>
      <c r="O356" s="2" t="s">
        <v>164</v>
      </c>
    </row>
    <row r="357" spans="1:15">
      <c r="A357" s="7" t="s">
        <v>469</v>
      </c>
      <c r="B357" t="str">
        <f>HYPERLINK("https://www.onsemi.com/PowerSolutions/product.do?id=74LCX821","74LCX821")</f>
        <v>74LCX821</v>
      </c>
      <c r="C357" t="str">
        <f>HYPERLINK("https://www.onsemi.com/pub/Collateral/74LCX821-D.pdf","74LCX821/D (209kB)")</f>
        <v>74LCX821/D (209kB)</v>
      </c>
      <c r="D357" t="s">
        <v>481</v>
      </c>
      <c r="E357" s="2" t="s">
        <v>175</v>
      </c>
      <c r="F357" t="s">
        <v>14</v>
      </c>
      <c r="G357" s="2" t="s">
        <v>482</v>
      </c>
      <c r="H357" s="2" t="s">
        <v>221</v>
      </c>
      <c r="I357" s="2"/>
      <c r="J357" s="2" t="s">
        <v>82</v>
      </c>
      <c r="K357" s="2" t="s">
        <v>131</v>
      </c>
      <c r="L357" s="2" t="s">
        <v>148</v>
      </c>
      <c r="M357" s="2"/>
      <c r="N357" s="2" t="s">
        <v>86</v>
      </c>
      <c r="O357" s="2" t="s">
        <v>426</v>
      </c>
    </row>
    <row r="358" spans="1:15" ht="38.25">
      <c r="A358" s="7" t="s">
        <v>469</v>
      </c>
      <c r="B358" t="str">
        <f>HYPERLINK("https://www.onsemi.com/PowerSolutions/product.do?id=74LVT16374","74LVT16374")</f>
        <v>74LVT16374</v>
      </c>
      <c r="C358" t="str">
        <f>HYPERLINK("https://www.onsemi.com/pub/Collateral/74LVT16374-D.pdf","74LVT16374/D (218kB)")</f>
        <v>74LVT16374/D (218kB)</v>
      </c>
      <c r="D358" t="s">
        <v>483</v>
      </c>
      <c r="E358" s="2" t="s">
        <v>23</v>
      </c>
      <c r="F358" t="s">
        <v>14</v>
      </c>
      <c r="G358" s="2" t="s">
        <v>484</v>
      </c>
      <c r="H358" s="2" t="s">
        <v>232</v>
      </c>
      <c r="I358" s="2"/>
      <c r="J358" s="2" t="s">
        <v>186</v>
      </c>
      <c r="K358" s="2" t="s">
        <v>131</v>
      </c>
      <c r="L358" s="2" t="s">
        <v>71</v>
      </c>
      <c r="M358" s="2"/>
      <c r="N358" s="2" t="s">
        <v>191</v>
      </c>
      <c r="O358" s="2" t="s">
        <v>154</v>
      </c>
    </row>
    <row r="359" spans="1:15" ht="25.5">
      <c r="A359" s="7" t="s">
        <v>469</v>
      </c>
      <c r="B359" t="str">
        <f>HYPERLINK("https://www.onsemi.com/PowerSolutions/product.do?id=74LVT574","74LVT574")</f>
        <v>74LVT574</v>
      </c>
      <c r="C359" t="str">
        <f>HYPERLINK("https://www.onsemi.com/pub/Collateral/74LVTH574-D.pdf","74LVTH574/D (461kB)")</f>
        <v>74LVTH574/D (461kB)</v>
      </c>
      <c r="D359" t="s">
        <v>485</v>
      </c>
      <c r="E359" s="2" t="s">
        <v>23</v>
      </c>
      <c r="F359" t="s">
        <v>14</v>
      </c>
      <c r="G359" s="2" t="s">
        <v>486</v>
      </c>
      <c r="H359" s="2" t="s">
        <v>68</v>
      </c>
      <c r="I359" s="2"/>
      <c r="J359" s="2" t="s">
        <v>186</v>
      </c>
      <c r="K359" s="2" t="s">
        <v>131</v>
      </c>
      <c r="L359" s="2" t="s">
        <v>71</v>
      </c>
      <c r="M359" s="2"/>
      <c r="N359" s="2" t="s">
        <v>191</v>
      </c>
      <c r="O359" s="2" t="s">
        <v>152</v>
      </c>
    </row>
    <row r="360" spans="1:15" ht="25.5">
      <c r="A360" s="7" t="s">
        <v>469</v>
      </c>
      <c r="B360" t="str">
        <f>HYPERLINK("https://www.onsemi.com/PowerSolutions/product.do?id=74LVTH374","74LVTH374")</f>
        <v>74LVTH374</v>
      </c>
      <c r="C360" t="str">
        <f>HYPERLINK("https://www.onsemi.com/pub/Collateral/74LVTH374-D.pdf","74LVTH374/D (426kB)")</f>
        <v>74LVTH374/D (426kB)</v>
      </c>
      <c r="D360" t="s">
        <v>485</v>
      </c>
      <c r="E360" s="2" t="s">
        <v>175</v>
      </c>
      <c r="F360" t="s">
        <v>14</v>
      </c>
      <c r="G360" s="2" t="s">
        <v>486</v>
      </c>
      <c r="H360" s="2" t="s">
        <v>68</v>
      </c>
      <c r="I360" s="2"/>
      <c r="J360" s="2" t="s">
        <v>186</v>
      </c>
      <c r="K360" s="2" t="s">
        <v>131</v>
      </c>
      <c r="L360" s="2" t="s">
        <v>395</v>
      </c>
      <c r="M360" s="2"/>
      <c r="N360" s="2" t="s">
        <v>191</v>
      </c>
      <c r="O360" s="2" t="s">
        <v>176</v>
      </c>
    </row>
    <row r="361" spans="1:15" ht="25.5">
      <c r="A361" s="7" t="s">
        <v>469</v>
      </c>
      <c r="B361" t="str">
        <f>HYPERLINK("https://www.onsemi.com/PowerSolutions/product.do?id=74LVTH573","74LVTH573")</f>
        <v>74LVTH573</v>
      </c>
      <c r="C361" t="str">
        <f>HYPERLINK("https://www.onsemi.com/pub/Collateral/74LVT573-D.pdf","74LVT573/D (461kB)")</f>
        <v>74LVT573/D (461kB)</v>
      </c>
      <c r="D361" t="s">
        <v>487</v>
      </c>
      <c r="E361" s="2" t="s">
        <v>175</v>
      </c>
      <c r="F361" t="s">
        <v>14</v>
      </c>
      <c r="G361" s="2" t="s">
        <v>488</v>
      </c>
      <c r="H361" s="2" t="s">
        <v>68</v>
      </c>
      <c r="I361" s="2"/>
      <c r="J361" s="2" t="s">
        <v>186</v>
      </c>
      <c r="K361" s="2" t="s">
        <v>131</v>
      </c>
      <c r="L361" s="2" t="s">
        <v>489</v>
      </c>
      <c r="M361" s="2"/>
      <c r="N361" s="2" t="s">
        <v>191</v>
      </c>
      <c r="O361" s="2" t="s">
        <v>176</v>
      </c>
    </row>
    <row r="362" spans="1:15" ht="25.5">
      <c r="A362" s="7" t="s">
        <v>469</v>
      </c>
      <c r="B362" t="str">
        <f>HYPERLINK("https://www.onsemi.com/PowerSolutions/product.do?id=74LVTH574","74LVTH574")</f>
        <v>74LVTH574</v>
      </c>
      <c r="C362" t="str">
        <f>HYPERLINK("https://www.onsemi.com/pub/Collateral/74LVTH574-D.pdf","74LVTH574/D (461kB)")</f>
        <v>74LVTH574/D (461kB)</v>
      </c>
      <c r="D362" t="s">
        <v>485</v>
      </c>
      <c r="E362" s="2" t="s">
        <v>175</v>
      </c>
      <c r="F362" t="s">
        <v>14</v>
      </c>
      <c r="G362" s="2" t="s">
        <v>486</v>
      </c>
      <c r="H362" s="2" t="s">
        <v>68</v>
      </c>
      <c r="I362" s="2"/>
      <c r="J362" s="2" t="s">
        <v>186</v>
      </c>
      <c r="K362" s="2" t="s">
        <v>131</v>
      </c>
      <c r="L362" s="2" t="s">
        <v>356</v>
      </c>
      <c r="M362" s="2"/>
      <c r="N362" s="2" t="s">
        <v>191</v>
      </c>
      <c r="O362" s="2" t="s">
        <v>176</v>
      </c>
    </row>
    <row r="363" spans="1:15" ht="25.5">
      <c r="A363" s="7" t="s">
        <v>469</v>
      </c>
      <c r="B363" t="str">
        <f>HYPERLINK("https://www.onsemi.com/PowerSolutions/product.do?id=74LVX273","74LVX273")</f>
        <v>74LVX273</v>
      </c>
      <c r="C363" t="str">
        <f>HYPERLINK("https://www.onsemi.com/pub/Collateral/74LVX273-D.pdf","74LVX273/D (211kB)")</f>
        <v>74LVX273/D (211kB)</v>
      </c>
      <c r="D363" t="s">
        <v>490</v>
      </c>
      <c r="E363" s="2" t="s">
        <v>23</v>
      </c>
      <c r="F363" t="s">
        <v>14</v>
      </c>
      <c r="G363" s="2" t="s">
        <v>491</v>
      </c>
      <c r="H363" s="2" t="s">
        <v>68</v>
      </c>
      <c r="I363" s="2"/>
      <c r="J363" s="2" t="s">
        <v>82</v>
      </c>
      <c r="K363" s="2" t="s">
        <v>131</v>
      </c>
      <c r="L363" s="2" t="s">
        <v>456</v>
      </c>
      <c r="M363" s="2"/>
      <c r="N363" s="2" t="s">
        <v>108</v>
      </c>
      <c r="O363" s="2" t="s">
        <v>152</v>
      </c>
    </row>
    <row r="364" spans="1:15" ht="25.5">
      <c r="A364" s="7" t="s">
        <v>469</v>
      </c>
      <c r="B364" t="str">
        <f>HYPERLINK("https://www.onsemi.com/PowerSolutions/product.do?id=74LVX74","74LVX74")</f>
        <v>74LVX74</v>
      </c>
      <c r="C364" t="str">
        <f>HYPERLINK("https://www.onsemi.com/pub/Collateral/74LVX74-D.pdf","74LVX74/D (403kB)")</f>
        <v>74LVX74/D (403kB)</v>
      </c>
      <c r="D364" t="s">
        <v>492</v>
      </c>
      <c r="E364" s="2" t="s">
        <v>23</v>
      </c>
      <c r="F364" t="s">
        <v>14</v>
      </c>
      <c r="G364" s="2" t="s">
        <v>480</v>
      </c>
      <c r="H364" s="2" t="s">
        <v>82</v>
      </c>
      <c r="I364" s="2"/>
      <c r="J364" s="2" t="s">
        <v>82</v>
      </c>
      <c r="K364" s="2" t="s">
        <v>131</v>
      </c>
      <c r="L364" s="2" t="s">
        <v>493</v>
      </c>
      <c r="M364" s="2"/>
      <c r="N364" s="2" t="s">
        <v>108</v>
      </c>
      <c r="O364" s="2" t="s">
        <v>146</v>
      </c>
    </row>
    <row r="365" spans="1:15" ht="25.5">
      <c r="A365" s="7" t="s">
        <v>469</v>
      </c>
      <c r="B365" t="str">
        <f>HYPERLINK("https://www.onsemi.com/PowerSolutions/product.do?id=74VCX16374","74VCX16374")</f>
        <v>74VCX16374</v>
      </c>
      <c r="C365" t="str">
        <f>HYPERLINK("https://www.onsemi.com/pub/Collateral/74VCX16374-D.pdf","74VCX16374/D (253kB)")</f>
        <v>74VCX16374/D (253kB)</v>
      </c>
      <c r="D365" t="s">
        <v>494</v>
      </c>
      <c r="E365" s="2" t="s">
        <v>23</v>
      </c>
      <c r="F365" t="s">
        <v>14</v>
      </c>
      <c r="G365" s="2" t="s">
        <v>495</v>
      </c>
      <c r="H365" s="2" t="s">
        <v>72</v>
      </c>
      <c r="I365" s="2"/>
      <c r="J365" s="2" t="s">
        <v>127</v>
      </c>
      <c r="K365" s="2" t="s">
        <v>131</v>
      </c>
      <c r="L365" s="2" t="s">
        <v>16</v>
      </c>
      <c r="M365" s="2"/>
      <c r="N365" s="2" t="s">
        <v>86</v>
      </c>
      <c r="O365" s="2" t="s">
        <v>154</v>
      </c>
    </row>
    <row r="366" spans="1:15" ht="25.5">
      <c r="A366" s="7" t="s">
        <v>469</v>
      </c>
      <c r="B366" t="str">
        <f>HYPERLINK("https://www.onsemi.com/PowerSolutions/product.do?id=74VHC112","74VHC112")</f>
        <v>74VHC112</v>
      </c>
      <c r="C366" t="str">
        <f>HYPERLINK("https://www.onsemi.com/pub/Collateral/74VHC112-D.pdf","74VHC112/D (381kB)")</f>
        <v>74VHC112/D (381kB)</v>
      </c>
      <c r="D366" t="s">
        <v>496</v>
      </c>
      <c r="E366" s="2" t="s">
        <v>23</v>
      </c>
      <c r="F366" t="s">
        <v>14</v>
      </c>
      <c r="G366" s="2" t="s">
        <v>497</v>
      </c>
      <c r="H366" s="2" t="s">
        <v>82</v>
      </c>
      <c r="I366" s="2"/>
      <c r="J366" s="2" t="s">
        <v>82</v>
      </c>
      <c r="K366" s="2" t="s">
        <v>89</v>
      </c>
      <c r="L366" s="2" t="s">
        <v>90</v>
      </c>
      <c r="M366" s="2"/>
      <c r="N366" s="2" t="s">
        <v>68</v>
      </c>
      <c r="O366" s="2" t="s">
        <v>42</v>
      </c>
    </row>
    <row r="367" spans="1:15" ht="38.25">
      <c r="A367" s="7" t="s">
        <v>469</v>
      </c>
      <c r="B367" t="str">
        <f>HYPERLINK("https://www.onsemi.com/PowerSolutions/product.do?id=74VHC175","74VHC175")</f>
        <v>74VHC175</v>
      </c>
      <c r="C367" t="str">
        <f>HYPERLINK("https://www.onsemi.com/pub/Collateral/74VHC175-D.pdf","74VHC175/D (370kB)")</f>
        <v>74VHC175/D (370kB)</v>
      </c>
      <c r="D367" t="s">
        <v>498</v>
      </c>
      <c r="E367" s="2" t="s">
        <v>23</v>
      </c>
      <c r="F367" t="s">
        <v>14</v>
      </c>
      <c r="G367" s="2" t="s">
        <v>499</v>
      </c>
      <c r="H367" s="2" t="s">
        <v>108</v>
      </c>
      <c r="I367" s="2"/>
      <c r="J367" s="2" t="s">
        <v>82</v>
      </c>
      <c r="K367" s="2" t="s">
        <v>89</v>
      </c>
      <c r="L367" s="2" t="s">
        <v>500</v>
      </c>
      <c r="M367" s="2"/>
      <c r="N367" s="2" t="s">
        <v>68</v>
      </c>
      <c r="O367" s="2" t="s">
        <v>501</v>
      </c>
    </row>
    <row r="368" spans="1:15" ht="38.25">
      <c r="A368" s="7" t="s">
        <v>469</v>
      </c>
      <c r="B368" t="str">
        <f>HYPERLINK("https://www.onsemi.com/PowerSolutions/product.do?id=74VHC273","74VHC273")</f>
        <v>74VHC273</v>
      </c>
      <c r="C368" t="str">
        <f>HYPERLINK("https://www.onsemi.com/pub/Collateral/74VHC273-D.pdf","74VHC273/D (738kB)")</f>
        <v>74VHC273/D (738kB)</v>
      </c>
      <c r="D368" t="s">
        <v>502</v>
      </c>
      <c r="E368" s="2" t="s">
        <v>23</v>
      </c>
      <c r="F368" t="s">
        <v>14</v>
      </c>
      <c r="G368" s="2" t="s">
        <v>491</v>
      </c>
      <c r="H368" s="2" t="s">
        <v>68</v>
      </c>
      <c r="I368" s="2"/>
      <c r="J368" s="2" t="s">
        <v>82</v>
      </c>
      <c r="K368" s="2" t="s">
        <v>89</v>
      </c>
      <c r="L368" s="2" t="s">
        <v>91</v>
      </c>
      <c r="M368" s="2"/>
      <c r="N368" s="2" t="s">
        <v>68</v>
      </c>
      <c r="O368" s="2" t="s">
        <v>178</v>
      </c>
    </row>
    <row r="369" spans="1:15" ht="25.5">
      <c r="A369" s="7" t="s">
        <v>469</v>
      </c>
      <c r="B369" t="str">
        <f>HYPERLINK("https://www.onsemi.com/PowerSolutions/product.do?id=74VHC374","74VHC374")</f>
        <v>74VHC374</v>
      </c>
      <c r="C369" t="str">
        <f>HYPERLINK("https://www.onsemi.com/pub/Collateral/74VHC374-D.pdf","74VHC374/D (321kB)")</f>
        <v>74VHC374/D (321kB)</v>
      </c>
      <c r="D369" t="s">
        <v>503</v>
      </c>
      <c r="E369" s="2" t="s">
        <v>23</v>
      </c>
      <c r="F369" t="s">
        <v>14</v>
      </c>
      <c r="G369" s="2" t="s">
        <v>486</v>
      </c>
      <c r="H369" s="2" t="s">
        <v>68</v>
      </c>
      <c r="I369" s="2"/>
      <c r="J369" s="2" t="s">
        <v>82</v>
      </c>
      <c r="K369" s="2" t="s">
        <v>89</v>
      </c>
      <c r="L369" s="2" t="s">
        <v>441</v>
      </c>
      <c r="M369" s="2"/>
      <c r="N369" s="2" t="s">
        <v>68</v>
      </c>
      <c r="O369" s="2" t="s">
        <v>152</v>
      </c>
    </row>
    <row r="370" spans="1:15" ht="38.25">
      <c r="A370" s="7" t="s">
        <v>469</v>
      </c>
      <c r="B370" t="str">
        <f>HYPERLINK("https://www.onsemi.com/PowerSolutions/product.do?id=74VHC574","74VHC574")</f>
        <v>74VHC574</v>
      </c>
      <c r="C370" t="str">
        <f>HYPERLINK("https://www.onsemi.com/pub/Collateral/74VHC574-D.pdf","74VHC574/D (224kB)")</f>
        <v>74VHC574/D (224kB)</v>
      </c>
      <c r="D370" t="s">
        <v>503</v>
      </c>
      <c r="E370" s="2" t="s">
        <v>23</v>
      </c>
      <c r="F370" t="s">
        <v>14</v>
      </c>
      <c r="G370" s="2" t="s">
        <v>486</v>
      </c>
      <c r="H370" s="2" t="s">
        <v>68</v>
      </c>
      <c r="I370" s="2"/>
      <c r="J370" s="2" t="s">
        <v>82</v>
      </c>
      <c r="K370" s="2" t="s">
        <v>89</v>
      </c>
      <c r="L370" s="2" t="s">
        <v>441</v>
      </c>
      <c r="M370" s="2"/>
      <c r="N370" s="2" t="s">
        <v>68</v>
      </c>
      <c r="O370" s="2" t="s">
        <v>178</v>
      </c>
    </row>
    <row r="371" spans="1:15" ht="38.25">
      <c r="A371" s="7" t="s">
        <v>469</v>
      </c>
      <c r="B371" t="str">
        <f>HYPERLINK("https://www.onsemi.com/PowerSolutions/product.do?id=74VHC74","74VHC74")</f>
        <v>74VHC74</v>
      </c>
      <c r="C371" t="str">
        <f>HYPERLINK("https://www.onsemi.com/pub/Collateral/74VHC74-D.PDF","74VHC74/D (459kB)")</f>
        <v>74VHC74/D (459kB)</v>
      </c>
      <c r="D371" t="s">
        <v>504</v>
      </c>
      <c r="E371" s="2" t="s">
        <v>23</v>
      </c>
      <c r="F371" t="s">
        <v>14</v>
      </c>
      <c r="G371" s="2" t="s">
        <v>505</v>
      </c>
      <c r="H371" s="2" t="s">
        <v>82</v>
      </c>
      <c r="I371" s="2"/>
      <c r="J371" s="2" t="s">
        <v>82</v>
      </c>
      <c r="K371" s="2" t="s">
        <v>89</v>
      </c>
      <c r="L371" s="2" t="s">
        <v>199</v>
      </c>
      <c r="M371" s="2"/>
      <c r="N371" s="2" t="s">
        <v>68</v>
      </c>
      <c r="O371" s="2" t="s">
        <v>197</v>
      </c>
    </row>
    <row r="372" spans="1:15" ht="25.5">
      <c r="A372" s="7" t="s">
        <v>469</v>
      </c>
      <c r="B372" t="str">
        <f>HYPERLINK("https://www.onsemi.com/PowerSolutions/product.do?id=74VHCT374A","74VHCT374A")</f>
        <v>74VHCT374A</v>
      </c>
      <c r="C372" t="str">
        <f>HYPERLINK("https://www.onsemi.com/pub/Collateral/74VHCT374A-D.pdf","74VHCT374A/D (383kB)")</f>
        <v>74VHCT374A/D (383kB)</v>
      </c>
      <c r="D372" t="s">
        <v>503</v>
      </c>
      <c r="E372" s="2" t="s">
        <v>23</v>
      </c>
      <c r="F372" t="s">
        <v>14</v>
      </c>
      <c r="G372" s="2" t="s">
        <v>486</v>
      </c>
      <c r="H372" s="2" t="s">
        <v>68</v>
      </c>
      <c r="I372" s="2"/>
      <c r="J372" s="2" t="s">
        <v>71</v>
      </c>
      <c r="K372" s="2" t="s">
        <v>89</v>
      </c>
      <c r="L372" s="2" t="s">
        <v>506</v>
      </c>
      <c r="M372" s="2"/>
      <c r="N372" s="2" t="s">
        <v>68</v>
      </c>
      <c r="O372" s="2" t="s">
        <v>152</v>
      </c>
    </row>
    <row r="373" spans="1:15" ht="25.5">
      <c r="A373" s="7" t="s">
        <v>469</v>
      </c>
      <c r="B373" t="str">
        <f>HYPERLINK("https://www.onsemi.com/PowerSolutions/product.do?id=74VHCT574A","74VHCT574A")</f>
        <v>74VHCT574A</v>
      </c>
      <c r="C373" t="str">
        <f>HYPERLINK("https://www.onsemi.com/pub/Collateral/74VHCT574A-D.pdf","74VHCT574A/D (224kB)")</f>
        <v>74VHCT574A/D (224kB)</v>
      </c>
      <c r="D373" t="s">
        <v>503</v>
      </c>
      <c r="E373" s="2" t="s">
        <v>23</v>
      </c>
      <c r="F373" t="s">
        <v>14</v>
      </c>
      <c r="G373" s="2" t="s">
        <v>486</v>
      </c>
      <c r="H373" s="2" t="s">
        <v>68</v>
      </c>
      <c r="I373" s="2"/>
      <c r="J373" s="2" t="s">
        <v>71</v>
      </c>
      <c r="K373" s="2" t="s">
        <v>89</v>
      </c>
      <c r="L373" s="2" t="s">
        <v>506</v>
      </c>
      <c r="M373" s="2"/>
      <c r="N373" s="2" t="s">
        <v>68</v>
      </c>
      <c r="O373" s="2" t="s">
        <v>152</v>
      </c>
    </row>
    <row r="374" spans="1:15" ht="25.5">
      <c r="A374" s="7" t="s">
        <v>469</v>
      </c>
      <c r="B374" t="str">
        <f>HYPERLINK("https://www.onsemi.com/PowerSolutions/product.do?id=74VHCT74A","74VHCT74A")</f>
        <v>74VHCT74A</v>
      </c>
      <c r="C374" t="str">
        <f>HYPERLINK("https://www.onsemi.com/pub/Collateral/74VHCT74A-D.pdf","74VHCT74A/D (396kB)")</f>
        <v>74VHCT74A/D (396kB)</v>
      </c>
      <c r="D374" t="s">
        <v>504</v>
      </c>
      <c r="E374" s="2" t="s">
        <v>23</v>
      </c>
      <c r="F374" t="s">
        <v>14</v>
      </c>
      <c r="G374" s="2" t="s">
        <v>505</v>
      </c>
      <c r="H374" s="2" t="s">
        <v>82</v>
      </c>
      <c r="I374" s="2"/>
      <c r="J374" s="2" t="s">
        <v>71</v>
      </c>
      <c r="K374" s="2" t="s">
        <v>89</v>
      </c>
      <c r="L374" s="2" t="s">
        <v>272</v>
      </c>
      <c r="M374" s="2"/>
      <c r="N374" s="2" t="s">
        <v>68</v>
      </c>
      <c r="O374" s="2" t="s">
        <v>146</v>
      </c>
    </row>
    <row r="375" spans="1:15" ht="51">
      <c r="A375" s="7" t="s">
        <v>469</v>
      </c>
      <c r="B375" t="str">
        <f>HYPERLINK("https://www.onsemi.com/PowerSolutions/product.do?id=MC14013B","MC14013B")</f>
        <v>MC14013B</v>
      </c>
      <c r="C375" t="str">
        <f>HYPERLINK("https://www.onsemi.com/pub/Collateral/MC14013B-D.PDF","MC14013B/D (123kB)")</f>
        <v>MC14013B/D (123kB)</v>
      </c>
      <c r="D375" t="s">
        <v>507</v>
      </c>
      <c r="E375" s="2" t="s">
        <v>13</v>
      </c>
      <c r="F375" t="s">
        <v>14</v>
      </c>
      <c r="G375" s="2" t="s">
        <v>471</v>
      </c>
      <c r="H375" s="2" t="s">
        <v>82</v>
      </c>
      <c r="I375" s="2"/>
      <c r="J375" s="2" t="s">
        <v>16</v>
      </c>
      <c r="K375" s="2" t="s">
        <v>17</v>
      </c>
      <c r="L375" s="2" t="s">
        <v>508</v>
      </c>
      <c r="M375" s="2"/>
      <c r="N375" s="2" t="s">
        <v>26</v>
      </c>
      <c r="O375" s="2" t="s">
        <v>69</v>
      </c>
    </row>
    <row r="376" spans="1:15" ht="51">
      <c r="A376" s="7" t="s">
        <v>469</v>
      </c>
      <c r="B376" t="str">
        <f>HYPERLINK("https://www.onsemi.com/PowerSolutions/product.do?id=MC14027B","MC14027B")</f>
        <v>MC14027B</v>
      </c>
      <c r="C376" t="str">
        <f>HYPERLINK("https://www.onsemi.com/pub/Collateral/MC14027B-D.PDF","MC14027B/D (97kB)")</f>
        <v>MC14027B/D (97kB)</v>
      </c>
      <c r="D376" t="s">
        <v>509</v>
      </c>
      <c r="E376" s="2" t="s">
        <v>13</v>
      </c>
      <c r="F376" t="s">
        <v>14</v>
      </c>
      <c r="G376" s="2" t="s">
        <v>510</v>
      </c>
      <c r="H376" s="2" t="s">
        <v>82</v>
      </c>
      <c r="I376" s="2"/>
      <c r="J376" s="2" t="s">
        <v>16</v>
      </c>
      <c r="K376" s="2" t="s">
        <v>17</v>
      </c>
      <c r="L376" s="2" t="s">
        <v>508</v>
      </c>
      <c r="M376" s="2"/>
      <c r="N376" s="2" t="s">
        <v>26</v>
      </c>
      <c r="O376" s="2" t="s">
        <v>27</v>
      </c>
    </row>
    <row r="377" spans="1:15" ht="51">
      <c r="A377" s="7" t="s">
        <v>469</v>
      </c>
      <c r="B377" t="str">
        <f>HYPERLINK("https://www.onsemi.com/PowerSolutions/product.do?id=MC14174B","MC14174B")</f>
        <v>MC14174B</v>
      </c>
      <c r="C377" t="str">
        <f>HYPERLINK("https://www.onsemi.com/pub/Collateral/MC14174B-D.PDF","MC14174B/D (138.0kB)")</f>
        <v>MC14174B/D (138.0kB)</v>
      </c>
      <c r="D377" t="s">
        <v>511</v>
      </c>
      <c r="E377" s="2" t="s">
        <v>13</v>
      </c>
      <c r="F377" t="s">
        <v>14</v>
      </c>
      <c r="G377" s="2" t="s">
        <v>471</v>
      </c>
      <c r="H377" s="2" t="s">
        <v>83</v>
      </c>
      <c r="I377" s="2"/>
      <c r="J377" s="2" t="s">
        <v>16</v>
      </c>
      <c r="K377" s="2" t="s">
        <v>17</v>
      </c>
      <c r="L377" s="2" t="s">
        <v>512</v>
      </c>
      <c r="M377" s="2"/>
      <c r="N377" s="2" t="s">
        <v>26</v>
      </c>
      <c r="O377" s="2" t="s">
        <v>27</v>
      </c>
    </row>
    <row r="378" spans="1:15" ht="51">
      <c r="A378" s="7" t="s">
        <v>469</v>
      </c>
      <c r="B378" t="str">
        <f>HYPERLINK("https://www.onsemi.com/PowerSolutions/product.do?id=MC14175B","MC14175B")</f>
        <v>MC14175B</v>
      </c>
      <c r="C378" t="str">
        <f>HYPERLINK("https://www.onsemi.com/pub/Collateral/MC14175B-D.PDF","MC14175B/D (122kB)")</f>
        <v>MC14175B/D (122kB)</v>
      </c>
      <c r="D378" t="s">
        <v>498</v>
      </c>
      <c r="E378" s="2" t="s">
        <v>13</v>
      </c>
      <c r="F378" t="s">
        <v>14</v>
      </c>
      <c r="G378" s="2" t="s">
        <v>471</v>
      </c>
      <c r="H378" s="2" t="s">
        <v>108</v>
      </c>
      <c r="I378" s="2"/>
      <c r="J378" s="2" t="s">
        <v>16</v>
      </c>
      <c r="K378" s="2" t="s">
        <v>17</v>
      </c>
      <c r="L378" s="2" t="s">
        <v>512</v>
      </c>
      <c r="M378" s="2"/>
      <c r="N378" s="2" t="s">
        <v>26</v>
      </c>
      <c r="O378" s="2" t="s">
        <v>27</v>
      </c>
    </row>
    <row r="379" spans="1:15" ht="25.5">
      <c r="A379" s="7" t="s">
        <v>469</v>
      </c>
      <c r="B379" t="str">
        <f>HYPERLINK("https://www.onsemi.com/PowerSolutions/product.do?id=MC74AC273","MC74AC273")</f>
        <v>MC74AC273</v>
      </c>
      <c r="C379" t="str">
        <f>HYPERLINK("https://www.onsemi.com/pub/Collateral/MC74AC273-D.PDF","MC74AC273/D (91kB)")</f>
        <v>MC74AC273/D (91kB)</v>
      </c>
      <c r="D379" t="s">
        <v>513</v>
      </c>
      <c r="E379" s="2" t="s">
        <v>23</v>
      </c>
      <c r="F379" t="s">
        <v>14</v>
      </c>
      <c r="G379" s="2" t="s">
        <v>471</v>
      </c>
      <c r="H379" s="2" t="s">
        <v>68</v>
      </c>
      <c r="I379" s="2"/>
      <c r="J379" s="2" t="s">
        <v>82</v>
      </c>
      <c r="K379" s="2" t="s">
        <v>83</v>
      </c>
      <c r="L379" s="2" t="s">
        <v>221</v>
      </c>
      <c r="M379" s="2"/>
      <c r="N379" s="2" t="s">
        <v>86</v>
      </c>
      <c r="O379" s="2" t="s">
        <v>152</v>
      </c>
    </row>
    <row r="380" spans="1:15" ht="25.5">
      <c r="A380" s="7" t="s">
        <v>469</v>
      </c>
      <c r="B380" t="str">
        <f>HYPERLINK("https://www.onsemi.com/PowerSolutions/product.do?id=MC74AC374","MC74AC374")</f>
        <v>MC74AC374</v>
      </c>
      <c r="C380" t="str">
        <f>HYPERLINK("https://www.onsemi.com/pub/Collateral/MC74AC374-D.PDF","MC74AC374/D (100kB)")</f>
        <v>MC74AC374/D (100kB)</v>
      </c>
      <c r="D380" t="s">
        <v>514</v>
      </c>
      <c r="E380" s="2" t="s">
        <v>23</v>
      </c>
      <c r="F380" t="s">
        <v>14</v>
      </c>
      <c r="G380" s="2" t="s">
        <v>471</v>
      </c>
      <c r="H380" s="2" t="s">
        <v>68</v>
      </c>
      <c r="I380" s="2"/>
      <c r="J380" s="2" t="s">
        <v>82</v>
      </c>
      <c r="K380" s="2" t="s">
        <v>83</v>
      </c>
      <c r="L380" s="2" t="s">
        <v>84</v>
      </c>
      <c r="M380" s="2"/>
      <c r="N380" s="2" t="s">
        <v>86</v>
      </c>
      <c r="O380" s="2" t="s">
        <v>152</v>
      </c>
    </row>
    <row r="381" spans="1:15" ht="25.5">
      <c r="A381" s="7" t="s">
        <v>469</v>
      </c>
      <c r="B381" t="str">
        <f>HYPERLINK("https://www.onsemi.com/PowerSolutions/product.do?id=MC74AC377","MC74AC377")</f>
        <v>MC74AC377</v>
      </c>
      <c r="C381" t="str">
        <f>HYPERLINK("https://www.onsemi.com/pub/Collateral/MC74AC377-D.PDF","MC74AC377/D (96kB)")</f>
        <v>MC74AC377/D (96kB)</v>
      </c>
      <c r="D381" t="s">
        <v>515</v>
      </c>
      <c r="E381" s="2" t="s">
        <v>23</v>
      </c>
      <c r="F381" t="s">
        <v>14</v>
      </c>
      <c r="G381" s="2" t="s">
        <v>471</v>
      </c>
      <c r="H381" s="2" t="s">
        <v>68</v>
      </c>
      <c r="I381" s="2"/>
      <c r="J381" s="2" t="s">
        <v>82</v>
      </c>
      <c r="K381" s="2" t="s">
        <v>83</v>
      </c>
      <c r="L381" s="2" t="s">
        <v>221</v>
      </c>
      <c r="M381" s="2"/>
      <c r="N381" s="2" t="s">
        <v>86</v>
      </c>
      <c r="O381" s="2" t="s">
        <v>152</v>
      </c>
    </row>
    <row r="382" spans="1:15" ht="25.5">
      <c r="A382" s="7" t="s">
        <v>469</v>
      </c>
      <c r="B382" t="str">
        <f>HYPERLINK("https://www.onsemi.com/PowerSolutions/product.do?id=MC74AC574","MC74AC574")</f>
        <v>MC74AC574</v>
      </c>
      <c r="C382" t="str">
        <f>HYPERLINK("https://www.onsemi.com/pub/Collateral/MC74AC574-D.PDF","MC74AC574/D (115.0kB)")</f>
        <v>MC74AC574/D (115.0kB)</v>
      </c>
      <c r="D382" t="s">
        <v>514</v>
      </c>
      <c r="E382" s="2" t="s">
        <v>23</v>
      </c>
      <c r="F382" t="s">
        <v>14</v>
      </c>
      <c r="G382" s="2" t="s">
        <v>471</v>
      </c>
      <c r="H382" s="2" t="s">
        <v>68</v>
      </c>
      <c r="I382" s="2"/>
      <c r="J382" s="2" t="s">
        <v>82</v>
      </c>
      <c r="K382" s="2" t="s">
        <v>83</v>
      </c>
      <c r="L382" s="2" t="s">
        <v>84</v>
      </c>
      <c r="M382" s="2"/>
      <c r="N382" s="2" t="s">
        <v>86</v>
      </c>
      <c r="O382" s="2" t="s">
        <v>152</v>
      </c>
    </row>
    <row r="383" spans="1:15" ht="51">
      <c r="A383" s="7" t="s">
        <v>469</v>
      </c>
      <c r="B383" t="str">
        <f>HYPERLINK("https://www.onsemi.com/PowerSolutions/product.do?id=MC74AC74","MC74AC74")</f>
        <v>MC74AC74</v>
      </c>
      <c r="C383" t="str">
        <f>HYPERLINK("https://www.onsemi.com/pub/Collateral/MC74AC74-D.PDF","MC74AC74/D (97kB)")</f>
        <v>MC74AC74/D (97kB)</v>
      </c>
      <c r="D383" t="s">
        <v>516</v>
      </c>
      <c r="E383" s="2" t="s">
        <v>13</v>
      </c>
      <c r="F383" t="s">
        <v>14</v>
      </c>
      <c r="G383" s="2" t="s">
        <v>471</v>
      </c>
      <c r="H383" s="2" t="s">
        <v>82</v>
      </c>
      <c r="I383" s="2"/>
      <c r="J383" s="2" t="s">
        <v>82</v>
      </c>
      <c r="K383" s="2" t="s">
        <v>83</v>
      </c>
      <c r="L383" s="2" t="s">
        <v>84</v>
      </c>
      <c r="M383" s="2"/>
      <c r="N383" s="2" t="s">
        <v>86</v>
      </c>
      <c r="O383" s="2" t="s">
        <v>69</v>
      </c>
    </row>
    <row r="384" spans="1:15" ht="25.5">
      <c r="A384" s="7" t="s">
        <v>469</v>
      </c>
      <c r="B384" t="str">
        <f>HYPERLINK("https://www.onsemi.com/PowerSolutions/product.do?id=MC74ACT273","MC74ACT273")</f>
        <v>MC74ACT273</v>
      </c>
      <c r="C384" t="str">
        <f>HYPERLINK("https://www.onsemi.com/pub/Collateral/MC74AC273-D.PDF","MC74AC273/D (91kB)")</f>
        <v>MC74AC273/D (91kB)</v>
      </c>
      <c r="D384" t="s">
        <v>517</v>
      </c>
      <c r="E384" s="2" t="s">
        <v>23</v>
      </c>
      <c r="F384" t="s">
        <v>14</v>
      </c>
      <c r="G384" s="2" t="s">
        <v>471</v>
      </c>
      <c r="H384" s="2" t="s">
        <v>68</v>
      </c>
      <c r="I384" s="2"/>
      <c r="J384" s="2" t="s">
        <v>71</v>
      </c>
      <c r="K384" s="2" t="s">
        <v>89</v>
      </c>
      <c r="L384" s="2" t="s">
        <v>91</v>
      </c>
      <c r="M384" s="2"/>
      <c r="N384" s="2" t="s">
        <v>86</v>
      </c>
      <c r="O384" s="2" t="s">
        <v>152</v>
      </c>
    </row>
    <row r="385" spans="1:15" ht="25.5">
      <c r="A385" s="7" t="s">
        <v>469</v>
      </c>
      <c r="B385" t="str">
        <f>HYPERLINK("https://www.onsemi.com/PowerSolutions/product.do?id=MC74ACT374","MC74ACT374")</f>
        <v>MC74ACT374</v>
      </c>
      <c r="C385" t="str">
        <f>HYPERLINK("https://www.onsemi.com/pub/Collateral/MC74AC374-D.PDF","MC74AC374/D (100kB)")</f>
        <v>MC74AC374/D (100kB)</v>
      </c>
      <c r="D385" t="s">
        <v>514</v>
      </c>
      <c r="E385" s="2" t="s">
        <v>23</v>
      </c>
      <c r="F385" t="s">
        <v>14</v>
      </c>
      <c r="G385" s="2" t="s">
        <v>471</v>
      </c>
      <c r="H385" s="2" t="s">
        <v>68</v>
      </c>
      <c r="I385" s="2"/>
      <c r="J385" s="2" t="s">
        <v>71</v>
      </c>
      <c r="K385" s="2" t="s">
        <v>89</v>
      </c>
      <c r="L385" s="2" t="s">
        <v>221</v>
      </c>
      <c r="M385" s="2"/>
      <c r="N385" s="2" t="s">
        <v>86</v>
      </c>
      <c r="O385" s="2" t="s">
        <v>152</v>
      </c>
    </row>
    <row r="386" spans="1:15" ht="25.5">
      <c r="A386" s="7" t="s">
        <v>469</v>
      </c>
      <c r="B386" t="str">
        <f>HYPERLINK("https://www.onsemi.com/PowerSolutions/product.do?id=MC74ACT377","MC74ACT377")</f>
        <v>MC74ACT377</v>
      </c>
      <c r="C386" t="str">
        <f>HYPERLINK("https://www.onsemi.com/pub/Collateral/MC74AC377-D.PDF","MC74AC377/D (96kB)")</f>
        <v>MC74AC377/D (96kB)</v>
      </c>
      <c r="D386" t="s">
        <v>515</v>
      </c>
      <c r="E386" s="2" t="s">
        <v>23</v>
      </c>
      <c r="F386" t="s">
        <v>14</v>
      </c>
      <c r="G386" s="2" t="s">
        <v>471</v>
      </c>
      <c r="H386" s="2" t="s">
        <v>68</v>
      </c>
      <c r="I386" s="2"/>
      <c r="J386" s="2" t="s">
        <v>71</v>
      </c>
      <c r="K386" s="2" t="s">
        <v>89</v>
      </c>
      <c r="L386" s="2" t="s">
        <v>221</v>
      </c>
      <c r="M386" s="2"/>
      <c r="N386" s="2" t="s">
        <v>86</v>
      </c>
      <c r="O386" s="2" t="s">
        <v>150</v>
      </c>
    </row>
    <row r="387" spans="1:15" ht="25.5">
      <c r="A387" s="7" t="s">
        <v>469</v>
      </c>
      <c r="B387" t="str">
        <f>HYPERLINK("https://www.onsemi.com/PowerSolutions/product.do?id=MC74ACT574","MC74ACT574")</f>
        <v>MC74ACT574</v>
      </c>
      <c r="C387" t="str">
        <f>HYPERLINK("https://www.onsemi.com/pub/Collateral/MC74AC574-D.PDF","MC74AC574/D (115.0kB)")</f>
        <v>MC74AC574/D (115.0kB)</v>
      </c>
      <c r="D387" t="s">
        <v>514</v>
      </c>
      <c r="E387" s="2" t="s">
        <v>23</v>
      </c>
      <c r="F387" t="s">
        <v>14</v>
      </c>
      <c r="G387" s="2" t="s">
        <v>471</v>
      </c>
      <c r="H387" s="2" t="s">
        <v>68</v>
      </c>
      <c r="I387" s="2"/>
      <c r="J387" s="2" t="s">
        <v>71</v>
      </c>
      <c r="K387" s="2" t="s">
        <v>89</v>
      </c>
      <c r="L387" s="2" t="s">
        <v>91</v>
      </c>
      <c r="M387" s="2"/>
      <c r="N387" s="2" t="s">
        <v>86</v>
      </c>
      <c r="O387" s="2" t="s">
        <v>152</v>
      </c>
    </row>
    <row r="388" spans="1:15" ht="25.5">
      <c r="A388" s="7" t="s">
        <v>469</v>
      </c>
      <c r="B388" t="str">
        <f>HYPERLINK("https://www.onsemi.com/PowerSolutions/product.do?id=MC74ACT74","MC74ACT74")</f>
        <v>MC74ACT74</v>
      </c>
      <c r="C388" t="str">
        <f>HYPERLINK("https://www.onsemi.com/pub/Collateral/MC74AC74-D.PDF","MC74AC74/D (97kB)")</f>
        <v>MC74AC74/D (97kB)</v>
      </c>
      <c r="D388" t="s">
        <v>518</v>
      </c>
      <c r="E388" s="2" t="s">
        <v>23</v>
      </c>
      <c r="F388" t="s">
        <v>14</v>
      </c>
      <c r="G388" s="2" t="s">
        <v>471</v>
      </c>
      <c r="H388" s="2" t="s">
        <v>82</v>
      </c>
      <c r="I388" s="2"/>
      <c r="J388" s="2" t="s">
        <v>71</v>
      </c>
      <c r="K388" s="2" t="s">
        <v>89</v>
      </c>
      <c r="L388" s="2" t="s">
        <v>221</v>
      </c>
      <c r="M388" s="2"/>
      <c r="N388" s="2" t="s">
        <v>86</v>
      </c>
      <c r="O388" s="2" t="s">
        <v>69</v>
      </c>
    </row>
    <row r="389" spans="1:15" ht="25.5">
      <c r="A389" s="7" t="s">
        <v>469</v>
      </c>
      <c r="B389" t="str">
        <f>HYPERLINK("https://www.onsemi.com/PowerSolutions/product.do?id=MC74HC112A","MC74HC112A")</f>
        <v>MC74HC112A</v>
      </c>
      <c r="C389" t="str">
        <f>HYPERLINK("https://www.onsemi.com/pub/Collateral/MC74HC112-D.PDF","MC74HC112/D (133.0kB)")</f>
        <v>MC74HC112/D (133.0kB)</v>
      </c>
      <c r="D389" t="s">
        <v>519</v>
      </c>
      <c r="E389" s="2" t="s">
        <v>23</v>
      </c>
      <c r="F389" t="s">
        <v>14</v>
      </c>
      <c r="G389" s="2" t="s">
        <v>510</v>
      </c>
      <c r="H389" s="2" t="s">
        <v>82</v>
      </c>
      <c r="I389" s="2"/>
      <c r="J389" s="2" t="s">
        <v>82</v>
      </c>
      <c r="K389" s="2" t="s">
        <v>83</v>
      </c>
      <c r="L389" s="2" t="s">
        <v>520</v>
      </c>
      <c r="M389" s="2"/>
      <c r="N389" s="2" t="s">
        <v>97</v>
      </c>
      <c r="O389" s="2" t="s">
        <v>42</v>
      </c>
    </row>
    <row r="390" spans="1:15" ht="51">
      <c r="A390" s="7" t="s">
        <v>469</v>
      </c>
      <c r="B390" t="str">
        <f>HYPERLINK("https://www.onsemi.com/PowerSolutions/product.do?id=MC74HC174A","MC74HC174A")</f>
        <v>MC74HC174A</v>
      </c>
      <c r="C390" t="str">
        <f>HYPERLINK("https://www.onsemi.com/pub/Collateral/MC74HC174A-D.PDF","MC74HC174A/D (142.0kB)")</f>
        <v>MC74HC174A/D (142.0kB)</v>
      </c>
      <c r="D390" t="s">
        <v>521</v>
      </c>
      <c r="E390" s="2" t="s">
        <v>13</v>
      </c>
      <c r="F390" t="s">
        <v>14</v>
      </c>
      <c r="G390" s="2" t="s">
        <v>471</v>
      </c>
      <c r="H390" s="2" t="s">
        <v>83</v>
      </c>
      <c r="I390" s="2"/>
      <c r="J390" s="2" t="s">
        <v>82</v>
      </c>
      <c r="K390" s="2" t="s">
        <v>83</v>
      </c>
      <c r="L390" s="2" t="s">
        <v>93</v>
      </c>
      <c r="M390" s="2"/>
      <c r="N390" s="2" t="s">
        <v>108</v>
      </c>
      <c r="O390" s="2" t="s">
        <v>42</v>
      </c>
    </row>
    <row r="391" spans="1:15" ht="51">
      <c r="A391" s="7" t="s">
        <v>469</v>
      </c>
      <c r="B391" t="str">
        <f>HYPERLINK("https://www.onsemi.com/PowerSolutions/product.do?id=MC74HC175A","MC74HC175A")</f>
        <v>MC74HC175A</v>
      </c>
      <c r="C391" t="str">
        <f>HYPERLINK("https://www.onsemi.com/pub/Collateral/MC74HC175A-D.PDF","MC74HC175A/D (87kB)")</f>
        <v>MC74HC175A/D (87kB)</v>
      </c>
      <c r="D391" t="s">
        <v>522</v>
      </c>
      <c r="E391" s="2" t="s">
        <v>13</v>
      </c>
      <c r="F391" t="s">
        <v>14</v>
      </c>
      <c r="G391" s="2" t="s">
        <v>471</v>
      </c>
      <c r="H391" s="2" t="s">
        <v>108</v>
      </c>
      <c r="I391" s="2"/>
      <c r="J391" s="2" t="s">
        <v>82</v>
      </c>
      <c r="K391" s="2" t="s">
        <v>83</v>
      </c>
      <c r="L391" s="2" t="s">
        <v>245</v>
      </c>
      <c r="M391" s="2"/>
      <c r="N391" s="2" t="s">
        <v>108</v>
      </c>
      <c r="O391" s="2" t="s">
        <v>42</v>
      </c>
    </row>
    <row r="392" spans="1:15" ht="51">
      <c r="A392" s="7" t="s">
        <v>469</v>
      </c>
      <c r="B392" t="str">
        <f>HYPERLINK("https://www.onsemi.com/PowerSolutions/product.do?id=MC74HC273A","MC74HC273A")</f>
        <v>MC74HC273A</v>
      </c>
      <c r="C392" t="str">
        <f>HYPERLINK("https://www.onsemi.com/pub/Collateral/MC74HC273A-D.PDF","MC74HC273A/D (91kB)")</f>
        <v>MC74HC273A/D (91kB)</v>
      </c>
      <c r="D392" t="s">
        <v>517</v>
      </c>
      <c r="E392" s="2" t="s">
        <v>13</v>
      </c>
      <c r="F392" t="s">
        <v>14</v>
      </c>
      <c r="G392" s="2" t="s">
        <v>471</v>
      </c>
      <c r="H392" s="2" t="s">
        <v>68</v>
      </c>
      <c r="I392" s="2"/>
      <c r="J392" s="2" t="s">
        <v>82</v>
      </c>
      <c r="K392" s="2" t="s">
        <v>83</v>
      </c>
      <c r="L392" s="2" t="s">
        <v>523</v>
      </c>
      <c r="M392" s="2"/>
      <c r="N392" s="2" t="s">
        <v>83</v>
      </c>
      <c r="O392" s="2" t="s">
        <v>152</v>
      </c>
    </row>
    <row r="393" spans="1:15" ht="51">
      <c r="A393" s="7" t="s">
        <v>469</v>
      </c>
      <c r="B393" t="str">
        <f>HYPERLINK("https://www.onsemi.com/PowerSolutions/product.do?id=MC74HC374A","MC74HC374A")</f>
        <v>MC74HC374A</v>
      </c>
      <c r="C393" t="str">
        <f>HYPERLINK("https://www.onsemi.com/pub/Collateral/MC74HC374A-D.PDF","MC74HC374A/D (90kB)")</f>
        <v>MC74HC374A/D (90kB)</v>
      </c>
      <c r="D393" t="s">
        <v>517</v>
      </c>
      <c r="E393" s="2" t="s">
        <v>13</v>
      </c>
      <c r="F393" t="s">
        <v>14</v>
      </c>
      <c r="G393" s="2" t="s">
        <v>471</v>
      </c>
      <c r="H393" s="2" t="s">
        <v>68</v>
      </c>
      <c r="I393" s="2"/>
      <c r="J393" s="2" t="s">
        <v>82</v>
      </c>
      <c r="K393" s="2" t="s">
        <v>83</v>
      </c>
      <c r="L393" s="2" t="s">
        <v>95</v>
      </c>
      <c r="M393" s="2"/>
      <c r="N393" s="2" t="s">
        <v>83</v>
      </c>
      <c r="O393" s="2" t="s">
        <v>152</v>
      </c>
    </row>
    <row r="394" spans="1:15" ht="25.5">
      <c r="A394" s="7" t="s">
        <v>469</v>
      </c>
      <c r="B394" t="str">
        <f>HYPERLINK("https://www.onsemi.com/PowerSolutions/product.do?id=MC74HC377A","MC74HC377A")</f>
        <v>MC74HC377A</v>
      </c>
      <c r="C394" t="str">
        <f>HYPERLINK("https://www.onsemi.com/pub/Collateral/MC74HC377A-D.PDF","MC74HC377A/D (156.0kB)")</f>
        <v>MC74HC377A/D (156.0kB)</v>
      </c>
      <c r="D394" t="s">
        <v>524</v>
      </c>
      <c r="E394" s="2" t="s">
        <v>23</v>
      </c>
      <c r="F394" t="s">
        <v>14</v>
      </c>
      <c r="G394" s="2" t="s">
        <v>471</v>
      </c>
      <c r="H394" s="2" t="s">
        <v>68</v>
      </c>
      <c r="I394" s="2"/>
      <c r="J394" s="2" t="s">
        <v>82</v>
      </c>
      <c r="K394" s="2" t="s">
        <v>83</v>
      </c>
      <c r="L394" s="2" t="s">
        <v>525</v>
      </c>
      <c r="M394" s="2"/>
      <c r="N394" s="2" t="s">
        <v>97</v>
      </c>
      <c r="O394" s="2" t="s">
        <v>152</v>
      </c>
    </row>
    <row r="395" spans="1:15" ht="51">
      <c r="A395" s="7" t="s">
        <v>469</v>
      </c>
      <c r="B395" t="str">
        <f>HYPERLINK("https://www.onsemi.com/PowerSolutions/product.do?id=MC74HC574A","MC74HC574A")</f>
        <v>MC74HC574A</v>
      </c>
      <c r="C395" t="str">
        <f>HYPERLINK("https://www.onsemi.com/pub/Collateral/MC74HC574A-D.PDF","MC74HC574A/D (127kB)")</f>
        <v>MC74HC574A/D (127kB)</v>
      </c>
      <c r="D395" t="s">
        <v>526</v>
      </c>
      <c r="E395" s="2" t="s">
        <v>13</v>
      </c>
      <c r="F395" t="s">
        <v>14</v>
      </c>
      <c r="G395" s="2" t="s">
        <v>471</v>
      </c>
      <c r="H395" s="2" t="s">
        <v>68</v>
      </c>
      <c r="I395" s="2"/>
      <c r="J395" s="2" t="s">
        <v>82</v>
      </c>
      <c r="K395" s="2" t="s">
        <v>83</v>
      </c>
      <c r="L395" s="2" t="s">
        <v>143</v>
      </c>
      <c r="M395" s="2"/>
      <c r="N395" s="2" t="s">
        <v>83</v>
      </c>
      <c r="O395" s="2" t="s">
        <v>152</v>
      </c>
    </row>
    <row r="396" spans="1:15" ht="51">
      <c r="A396" s="7" t="s">
        <v>469</v>
      </c>
      <c r="B396" t="str">
        <f>HYPERLINK("https://www.onsemi.com/PowerSolutions/product.do?id=MC74HC73A","MC74HC73A")</f>
        <v>MC74HC73A</v>
      </c>
      <c r="C396" t="str">
        <f>HYPERLINK("https://www.onsemi.com/pub/Collateral/MC74HC73-D.PDF","MC74HC73/D (85kB)")</f>
        <v>MC74HC73/D (85kB)</v>
      </c>
      <c r="D396" t="s">
        <v>527</v>
      </c>
      <c r="E396" s="2" t="s">
        <v>13</v>
      </c>
      <c r="F396" t="s">
        <v>14</v>
      </c>
      <c r="G396" s="2" t="s">
        <v>510</v>
      </c>
      <c r="H396" s="2" t="s">
        <v>82</v>
      </c>
      <c r="I396" s="2"/>
      <c r="J396" s="2" t="s">
        <v>82</v>
      </c>
      <c r="K396" s="2" t="s">
        <v>83</v>
      </c>
      <c r="L396" s="2" t="s">
        <v>520</v>
      </c>
      <c r="M396" s="2"/>
      <c r="N396" s="2" t="s">
        <v>97</v>
      </c>
      <c r="O396" s="2" t="s">
        <v>69</v>
      </c>
    </row>
    <row r="397" spans="1:15" ht="51">
      <c r="A397" s="7" t="s">
        <v>469</v>
      </c>
      <c r="B397" t="str">
        <f>HYPERLINK("https://www.onsemi.com/PowerSolutions/product.do?id=MC74HC74A","MC74HC74A")</f>
        <v>MC74HC74A</v>
      </c>
      <c r="C397" t="str">
        <f>HYPERLINK("https://www.onsemi.com/pub/Collateral/MC74HC74A-D.PDF","MC74HC74A/D (110kB)")</f>
        <v>MC74HC74A/D (110kB)</v>
      </c>
      <c r="D397" t="s">
        <v>528</v>
      </c>
      <c r="E397" s="2" t="s">
        <v>13</v>
      </c>
      <c r="F397" t="s">
        <v>14</v>
      </c>
      <c r="G397" s="2" t="s">
        <v>471</v>
      </c>
      <c r="H397" s="2" t="s">
        <v>82</v>
      </c>
      <c r="I397" s="2"/>
      <c r="J397" s="2" t="s">
        <v>82</v>
      </c>
      <c r="K397" s="2" t="s">
        <v>83</v>
      </c>
      <c r="L397" s="2" t="s">
        <v>232</v>
      </c>
      <c r="M397" s="2"/>
      <c r="N397" s="2" t="s">
        <v>108</v>
      </c>
      <c r="O397" s="2" t="s">
        <v>69</v>
      </c>
    </row>
    <row r="398" spans="1:15" ht="25.5">
      <c r="A398" s="7" t="s">
        <v>469</v>
      </c>
      <c r="B398" t="str">
        <f>HYPERLINK("https://www.onsemi.com/PowerSolutions/product.do?id=MC74HCT273A","MC74HCT273A")</f>
        <v>MC74HCT273A</v>
      </c>
      <c r="C398" t="str">
        <f>HYPERLINK("https://www.onsemi.com/pub/Collateral/MC74HCT273A-D.PDF","MC74HCT273A/D (112kB)")</f>
        <v>MC74HCT273A/D (112kB)</v>
      </c>
      <c r="D398" t="s">
        <v>517</v>
      </c>
      <c r="E398" s="2" t="s">
        <v>23</v>
      </c>
      <c r="F398" t="s">
        <v>14</v>
      </c>
      <c r="G398" s="2" t="s">
        <v>471</v>
      </c>
      <c r="H398" s="2" t="s">
        <v>68</v>
      </c>
      <c r="I398" s="2"/>
      <c r="J398" s="2" t="s">
        <v>71</v>
      </c>
      <c r="K398" s="2" t="s">
        <v>89</v>
      </c>
      <c r="L398" s="2" t="s">
        <v>95</v>
      </c>
      <c r="M398" s="2"/>
      <c r="N398" s="2" t="s">
        <v>83</v>
      </c>
      <c r="O398" s="2" t="s">
        <v>152</v>
      </c>
    </row>
    <row r="399" spans="1:15" ht="51">
      <c r="A399" s="7" t="s">
        <v>469</v>
      </c>
      <c r="B399" t="str">
        <f>HYPERLINK("https://www.onsemi.com/PowerSolutions/product.do?id=MC74HCT374A","MC74HCT374A")</f>
        <v>MC74HCT374A</v>
      </c>
      <c r="C399" t="str">
        <f>HYPERLINK("https://www.onsemi.com/pub/Collateral/MC74HCT374A-D.PDF","MC74HCT374A/D (116kB)")</f>
        <v>MC74HCT374A/D (116kB)</v>
      </c>
      <c r="D399" t="s">
        <v>526</v>
      </c>
      <c r="E399" s="2" t="s">
        <v>13</v>
      </c>
      <c r="F399" t="s">
        <v>14</v>
      </c>
      <c r="G399" s="2" t="s">
        <v>471</v>
      </c>
      <c r="H399" s="2" t="s">
        <v>68</v>
      </c>
      <c r="I399" s="2"/>
      <c r="J399" s="2" t="s">
        <v>71</v>
      </c>
      <c r="K399" s="2" t="s">
        <v>89</v>
      </c>
      <c r="L399" s="2" t="s">
        <v>104</v>
      </c>
      <c r="M399" s="2"/>
      <c r="N399" s="2" t="s">
        <v>83</v>
      </c>
      <c r="O399" s="2" t="s">
        <v>152</v>
      </c>
    </row>
    <row r="400" spans="1:15" ht="51">
      <c r="A400" s="7" t="s">
        <v>469</v>
      </c>
      <c r="B400" t="str">
        <f>HYPERLINK("https://www.onsemi.com/PowerSolutions/product.do?id=MC74HCT574A","MC74HCT574A")</f>
        <v>MC74HCT574A</v>
      </c>
      <c r="C400" t="str">
        <f>HYPERLINK("https://www.onsemi.com/pub/Collateral/MC74HCT574A-D.PDF","MC74HCT574A/D (119kB)")</f>
        <v>MC74HCT574A/D (119kB)</v>
      </c>
      <c r="D400" t="s">
        <v>526</v>
      </c>
      <c r="E400" s="2" t="s">
        <v>13</v>
      </c>
      <c r="F400" t="s">
        <v>14</v>
      </c>
      <c r="G400" s="2" t="s">
        <v>471</v>
      </c>
      <c r="H400" s="2" t="s">
        <v>68</v>
      </c>
      <c r="I400" s="2"/>
      <c r="J400" s="2" t="s">
        <v>529</v>
      </c>
      <c r="K400" s="2" t="s">
        <v>89</v>
      </c>
      <c r="L400" s="2" t="s">
        <v>249</v>
      </c>
      <c r="M400" s="2"/>
      <c r="N400" s="2" t="s">
        <v>83</v>
      </c>
      <c r="O400" s="2" t="s">
        <v>152</v>
      </c>
    </row>
    <row r="401" spans="1:15" ht="51">
      <c r="A401" s="7" t="s">
        <v>469</v>
      </c>
      <c r="B401" t="str">
        <f>HYPERLINK("https://www.onsemi.com/PowerSolutions/product.do?id=MC74HCT74A","MC74HCT74A")</f>
        <v>MC74HCT74A</v>
      </c>
      <c r="C401" t="str">
        <f>HYPERLINK("https://www.onsemi.com/pub/Collateral/MC74HCT74A-D.PDF","MC74HCT74A/D (97kB)")</f>
        <v>MC74HCT74A/D (97kB)</v>
      </c>
      <c r="D401" t="s">
        <v>528</v>
      </c>
      <c r="E401" s="2" t="s">
        <v>13</v>
      </c>
      <c r="F401" t="s">
        <v>14</v>
      </c>
      <c r="G401" s="2" t="s">
        <v>471</v>
      </c>
      <c r="H401" s="2" t="s">
        <v>82</v>
      </c>
      <c r="I401" s="2"/>
      <c r="J401" s="2" t="s">
        <v>71</v>
      </c>
      <c r="K401" s="2" t="s">
        <v>89</v>
      </c>
      <c r="L401" s="2" t="s">
        <v>86</v>
      </c>
      <c r="M401" s="2"/>
      <c r="N401" s="2" t="s">
        <v>108</v>
      </c>
      <c r="O401" s="2" t="s">
        <v>21</v>
      </c>
    </row>
    <row r="402" spans="1:15" ht="25.5">
      <c r="A402" s="7" t="s">
        <v>469</v>
      </c>
      <c r="B402" t="str">
        <f>HYPERLINK("https://www.onsemi.com/PowerSolutions/product.do?id=MC74LCX16374","MC74LCX16374")</f>
        <v>MC74LCX16374</v>
      </c>
      <c r="C402" t="str">
        <f>HYPERLINK("https://www.onsemi.com/pub/Collateral/MC74LCX16374-D.PDF","MC74LCX16374/D (127.0kB)")</f>
        <v>MC74LCX16374/D (127.0kB)</v>
      </c>
      <c r="D402" t="s">
        <v>530</v>
      </c>
      <c r="E402" s="2" t="s">
        <v>23</v>
      </c>
      <c r="F402" t="s">
        <v>14</v>
      </c>
      <c r="G402" s="2" t="s">
        <v>471</v>
      </c>
      <c r="H402" s="2" t="s">
        <v>72</v>
      </c>
      <c r="I402" s="2"/>
      <c r="J402" s="2" t="s">
        <v>82</v>
      </c>
      <c r="K402" s="2" t="s">
        <v>131</v>
      </c>
      <c r="L402" s="2" t="s">
        <v>216</v>
      </c>
      <c r="M402" s="2"/>
      <c r="N402" s="2" t="s">
        <v>86</v>
      </c>
      <c r="O402" s="2" t="s">
        <v>154</v>
      </c>
    </row>
    <row r="403" spans="1:15" ht="51">
      <c r="A403" s="7" t="s">
        <v>469</v>
      </c>
      <c r="B403" t="str">
        <f>HYPERLINK("https://www.onsemi.com/PowerSolutions/product.do?id=MC74LCX374","MC74LCX374")</f>
        <v>MC74LCX374</v>
      </c>
      <c r="C403" t="str">
        <f>HYPERLINK("https://www.onsemi.com/pub/Collateral/MC74LCX374-D.PDF","MC74LCX374/D (90kB)")</f>
        <v>MC74LCX374/D (90kB)</v>
      </c>
      <c r="D403" t="s">
        <v>531</v>
      </c>
      <c r="E403" s="2" t="s">
        <v>13</v>
      </c>
      <c r="F403" t="s">
        <v>14</v>
      </c>
      <c r="G403" s="2" t="s">
        <v>471</v>
      </c>
      <c r="H403" s="2" t="s">
        <v>68</v>
      </c>
      <c r="I403" s="2"/>
      <c r="J403" s="2" t="s">
        <v>82</v>
      </c>
      <c r="K403" s="2" t="s">
        <v>131</v>
      </c>
      <c r="L403" s="2" t="s">
        <v>225</v>
      </c>
      <c r="M403" s="2"/>
      <c r="N403" s="2" t="s">
        <v>86</v>
      </c>
      <c r="O403" s="2" t="s">
        <v>152</v>
      </c>
    </row>
    <row r="404" spans="1:15" ht="51">
      <c r="A404" s="7" t="s">
        <v>469</v>
      </c>
      <c r="B404" t="str">
        <f>HYPERLINK("https://www.onsemi.com/PowerSolutions/product.do?id=MC74LCX574","MC74LCX574")</f>
        <v>MC74LCX574</v>
      </c>
      <c r="C404" t="str">
        <f>HYPERLINK("https://www.onsemi.com/pub/Collateral/MC74LCX574-D.PDF","MC74LCX574/D (95kB)")</f>
        <v>MC74LCX574/D (95kB)</v>
      </c>
      <c r="D404" t="s">
        <v>532</v>
      </c>
      <c r="E404" s="2" t="s">
        <v>13</v>
      </c>
      <c r="F404" t="s">
        <v>14</v>
      </c>
      <c r="G404" s="2" t="s">
        <v>471</v>
      </c>
      <c r="H404" s="2" t="s">
        <v>68</v>
      </c>
      <c r="I404" s="2"/>
      <c r="J404" s="2" t="s">
        <v>82</v>
      </c>
      <c r="K404" s="2" t="s">
        <v>131</v>
      </c>
      <c r="L404" s="2" t="s">
        <v>225</v>
      </c>
      <c r="M404" s="2"/>
      <c r="N404" s="2" t="s">
        <v>533</v>
      </c>
      <c r="O404" s="2" t="s">
        <v>152</v>
      </c>
    </row>
    <row r="405" spans="1:15" ht="25.5">
      <c r="A405" s="7" t="s">
        <v>469</v>
      </c>
      <c r="B405" t="str">
        <f>HYPERLINK("https://www.onsemi.com/PowerSolutions/product.do?id=MC74LCX74","MC74LCX74")</f>
        <v>MC74LCX74</v>
      </c>
      <c r="C405" t="str">
        <f>HYPERLINK("https://www.onsemi.com/pub/Collateral/MC74LCX74-D.PDF","MC74LCX74/D (157.0kB)")</f>
        <v>MC74LCX74/D (157.0kB)</v>
      </c>
      <c r="D405" t="s">
        <v>534</v>
      </c>
      <c r="E405" s="2" t="s">
        <v>23</v>
      </c>
      <c r="F405" t="s">
        <v>14</v>
      </c>
      <c r="G405" s="2" t="s">
        <v>471</v>
      </c>
      <c r="H405" s="2" t="s">
        <v>82</v>
      </c>
      <c r="I405" s="2"/>
      <c r="J405" s="2" t="s">
        <v>82</v>
      </c>
      <c r="K405" s="2" t="s">
        <v>131</v>
      </c>
      <c r="L405" s="2" t="s">
        <v>148</v>
      </c>
      <c r="M405" s="2"/>
      <c r="N405" s="2" t="s">
        <v>86</v>
      </c>
      <c r="O405" s="2" t="s">
        <v>69</v>
      </c>
    </row>
    <row r="406" spans="1:15" ht="25.5">
      <c r="A406" s="7" t="s">
        <v>469</v>
      </c>
      <c r="B406" t="str">
        <f>HYPERLINK("https://www.onsemi.com/PowerSolutions/product.do?id=MC74LVX374","MC74LVX374")</f>
        <v>MC74LVX374</v>
      </c>
      <c r="C406" t="str">
        <f>HYPERLINK("https://www.onsemi.com/pub/Collateral/MC74LVX374-D.PDF","MC74LVX374/D (112kB)")</f>
        <v>MC74LVX374/D (112kB)</v>
      </c>
      <c r="D406" t="s">
        <v>514</v>
      </c>
      <c r="E406" s="2" t="s">
        <v>23</v>
      </c>
      <c r="F406" t="s">
        <v>14</v>
      </c>
      <c r="G406" s="2" t="s">
        <v>471</v>
      </c>
      <c r="H406" s="2" t="s">
        <v>68</v>
      </c>
      <c r="I406" s="2"/>
      <c r="J406" s="2" t="s">
        <v>82</v>
      </c>
      <c r="K406" s="2" t="s">
        <v>131</v>
      </c>
      <c r="L406" s="2" t="s">
        <v>535</v>
      </c>
      <c r="M406" s="2"/>
      <c r="N406" s="2" t="s">
        <v>108</v>
      </c>
      <c r="O406" s="2" t="s">
        <v>152</v>
      </c>
    </row>
    <row r="407" spans="1:15" ht="25.5">
      <c r="A407" s="7" t="s">
        <v>469</v>
      </c>
      <c r="B407" t="str">
        <f>HYPERLINK("https://www.onsemi.com/PowerSolutions/product.do?id=MC74LVX574","MC74LVX574")</f>
        <v>MC74LVX574</v>
      </c>
      <c r="C407" t="str">
        <f>HYPERLINK("https://www.onsemi.com/pub/Collateral/MC74LVX574-D.PDF","MC74LVX574/D (111kB)")</f>
        <v>MC74LVX574/D (111kB)</v>
      </c>
      <c r="D407" t="s">
        <v>514</v>
      </c>
      <c r="E407" s="2" t="s">
        <v>23</v>
      </c>
      <c r="F407" t="s">
        <v>14</v>
      </c>
      <c r="G407" s="2" t="s">
        <v>471</v>
      </c>
      <c r="H407" s="2" t="s">
        <v>68</v>
      </c>
      <c r="I407" s="2"/>
      <c r="J407" s="2" t="s">
        <v>82</v>
      </c>
      <c r="K407" s="2" t="s">
        <v>131</v>
      </c>
      <c r="L407" s="2" t="s">
        <v>536</v>
      </c>
      <c r="M407" s="2"/>
      <c r="N407" s="2" t="s">
        <v>108</v>
      </c>
      <c r="O407" s="2" t="s">
        <v>152</v>
      </c>
    </row>
    <row r="408" spans="1:15" ht="25.5">
      <c r="A408" s="7" t="s">
        <v>469</v>
      </c>
      <c r="B408" t="str">
        <f>HYPERLINK("https://www.onsemi.com/PowerSolutions/product.do?id=MC74LVX74","MC74LVX74")</f>
        <v>MC74LVX74</v>
      </c>
      <c r="C408" t="str">
        <f>HYPERLINK("https://www.onsemi.com/pub/Collateral/MC74LVX74-D.PDF","MC74LVX74/D (108kB)")</f>
        <v>MC74LVX74/D (108kB)</v>
      </c>
      <c r="D408" t="s">
        <v>507</v>
      </c>
      <c r="E408" s="2" t="s">
        <v>23</v>
      </c>
      <c r="F408" t="s">
        <v>14</v>
      </c>
      <c r="G408" s="2" t="s">
        <v>471</v>
      </c>
      <c r="H408" s="2" t="s">
        <v>82</v>
      </c>
      <c r="I408" s="2"/>
      <c r="J408" s="2" t="s">
        <v>82</v>
      </c>
      <c r="K408" s="2" t="s">
        <v>131</v>
      </c>
      <c r="L408" s="2" t="s">
        <v>537</v>
      </c>
      <c r="M408" s="2"/>
      <c r="N408" s="2" t="s">
        <v>108</v>
      </c>
      <c r="O408" s="2" t="s">
        <v>69</v>
      </c>
    </row>
    <row r="409" spans="1:15" ht="25.5">
      <c r="A409" s="7" t="s">
        <v>469</v>
      </c>
      <c r="B409" t="str">
        <f>HYPERLINK("https://www.onsemi.com/PowerSolutions/product.do?id=MC74VHC374","MC74VHC374")</f>
        <v>MC74VHC374</v>
      </c>
      <c r="C409" t="str">
        <f>HYPERLINK("https://www.onsemi.com/pub/Collateral/MC74VHC374-D.PDF","MC74VHC374/D (145.0kB)")</f>
        <v>MC74VHC374/D (145.0kB)</v>
      </c>
      <c r="D409" t="s">
        <v>514</v>
      </c>
      <c r="E409" s="2" t="s">
        <v>23</v>
      </c>
      <c r="F409" t="s">
        <v>14</v>
      </c>
      <c r="G409" s="2" t="s">
        <v>471</v>
      </c>
      <c r="H409" s="2" t="s">
        <v>68</v>
      </c>
      <c r="I409" s="2"/>
      <c r="J409" s="2" t="s">
        <v>82</v>
      </c>
      <c r="K409" s="2" t="s">
        <v>89</v>
      </c>
      <c r="L409" s="2" t="s">
        <v>441</v>
      </c>
      <c r="M409" s="2"/>
      <c r="N409" s="2" t="s">
        <v>68</v>
      </c>
      <c r="O409" s="2" t="s">
        <v>152</v>
      </c>
    </row>
    <row r="410" spans="1:15" ht="25.5">
      <c r="A410" s="7" t="s">
        <v>469</v>
      </c>
      <c r="B410" t="str">
        <f>HYPERLINK("https://www.onsemi.com/PowerSolutions/product.do?id=MC74VHC574","MC74VHC574")</f>
        <v>MC74VHC574</v>
      </c>
      <c r="C410" t="str">
        <f>HYPERLINK("https://www.onsemi.com/pub/Collateral/MC74VHC574-D.PDF","MC74VHC574/D (133.0kB)")</f>
        <v>MC74VHC574/D (133.0kB)</v>
      </c>
      <c r="D410" t="s">
        <v>514</v>
      </c>
      <c r="E410" s="2" t="s">
        <v>23</v>
      </c>
      <c r="F410" t="s">
        <v>14</v>
      </c>
      <c r="G410" s="2" t="s">
        <v>471</v>
      </c>
      <c r="H410" s="2" t="s">
        <v>68</v>
      </c>
      <c r="I410" s="2"/>
      <c r="J410" s="2" t="s">
        <v>82</v>
      </c>
      <c r="K410" s="2" t="s">
        <v>89</v>
      </c>
      <c r="L410" s="2" t="s">
        <v>263</v>
      </c>
      <c r="M410" s="2"/>
      <c r="N410" s="2" t="s">
        <v>68</v>
      </c>
      <c r="O410" s="2" t="s">
        <v>152</v>
      </c>
    </row>
    <row r="411" spans="1:15" ht="51">
      <c r="A411" s="7" t="s">
        <v>469</v>
      </c>
      <c r="B411" t="str">
        <f>HYPERLINK("https://www.onsemi.com/PowerSolutions/product.do?id=MC74VHC74","MC74VHC74")</f>
        <v>MC74VHC74</v>
      </c>
      <c r="C411" t="str">
        <f>HYPERLINK("https://www.onsemi.com/pub/Collateral/MC74VHC74-D.PDF","MC74VHC74/D (127kB)")</f>
        <v>MC74VHC74/D (127kB)</v>
      </c>
      <c r="D411" t="s">
        <v>528</v>
      </c>
      <c r="E411" s="2" t="s">
        <v>13</v>
      </c>
      <c r="F411" t="s">
        <v>14</v>
      </c>
      <c r="G411" s="2" t="s">
        <v>471</v>
      </c>
      <c r="H411" s="2" t="s">
        <v>82</v>
      </c>
      <c r="I411" s="2"/>
      <c r="J411" s="2" t="s">
        <v>82</v>
      </c>
      <c r="K411" s="2" t="s">
        <v>89</v>
      </c>
      <c r="L411" s="2" t="s">
        <v>199</v>
      </c>
      <c r="M411" s="2"/>
      <c r="N411" s="2" t="s">
        <v>68</v>
      </c>
      <c r="O411" s="2" t="s">
        <v>69</v>
      </c>
    </row>
    <row r="412" spans="1:15" ht="25.5">
      <c r="A412" s="7" t="s">
        <v>469</v>
      </c>
      <c r="B412" t="str">
        <f>HYPERLINK("https://www.onsemi.com/PowerSolutions/product.do?id=MC74VHCT374A","MC74VHCT374A")</f>
        <v>MC74VHCT374A</v>
      </c>
      <c r="C412" t="str">
        <f>HYPERLINK("https://www.onsemi.com/pub/Collateral/MC74VHCT374A-D.PDF","MC74VHCT374A/D (97kB)")</f>
        <v>MC74VHCT374A/D (97kB)</v>
      </c>
      <c r="D412" t="s">
        <v>514</v>
      </c>
      <c r="E412" s="2" t="s">
        <v>23</v>
      </c>
      <c r="F412" t="s">
        <v>14</v>
      </c>
      <c r="G412" s="2" t="s">
        <v>471</v>
      </c>
      <c r="H412" s="2" t="s">
        <v>68</v>
      </c>
      <c r="I412" s="2"/>
      <c r="J412" s="2" t="s">
        <v>71</v>
      </c>
      <c r="K412" s="2" t="s">
        <v>89</v>
      </c>
      <c r="L412" s="2" t="s">
        <v>506</v>
      </c>
      <c r="M412" s="2"/>
      <c r="N412" s="2" t="s">
        <v>68</v>
      </c>
      <c r="O412" s="2" t="s">
        <v>152</v>
      </c>
    </row>
    <row r="413" spans="1:15" ht="25.5">
      <c r="A413" s="7" t="s">
        <v>469</v>
      </c>
      <c r="B413" t="str">
        <f>HYPERLINK("https://www.onsemi.com/PowerSolutions/product.do?id=MC74VHCT574A","MC74VHCT574A")</f>
        <v>MC74VHCT574A</v>
      </c>
      <c r="C413" t="str">
        <f>HYPERLINK("https://www.onsemi.com/pub/Collateral/MC74VHCT574A-D.PDF","MC74VHCT574A/D (131.0kB)")</f>
        <v>MC74VHCT574A/D (131.0kB)</v>
      </c>
      <c r="D413" t="s">
        <v>514</v>
      </c>
      <c r="E413" s="2" t="s">
        <v>23</v>
      </c>
      <c r="F413" t="s">
        <v>14</v>
      </c>
      <c r="G413" s="2" t="s">
        <v>471</v>
      </c>
      <c r="H413" s="2" t="s">
        <v>68</v>
      </c>
      <c r="I413" s="2"/>
      <c r="J413" s="2" t="s">
        <v>71</v>
      </c>
      <c r="K413" s="2" t="s">
        <v>89</v>
      </c>
      <c r="L413" s="2" t="s">
        <v>506</v>
      </c>
      <c r="M413" s="2"/>
      <c r="N413" s="2" t="s">
        <v>68</v>
      </c>
      <c r="O413" s="2" t="s">
        <v>152</v>
      </c>
    </row>
    <row r="414" spans="1:15" ht="25.5">
      <c r="A414" s="7" t="s">
        <v>469</v>
      </c>
      <c r="B414" t="str">
        <f>HYPERLINK("https://www.onsemi.com/PowerSolutions/product.do?id=MC74VHCT74A","MC74VHCT74A")</f>
        <v>MC74VHCT74A</v>
      </c>
      <c r="C414" t="str">
        <f>HYPERLINK("https://www.onsemi.com/pub/Collateral/MC74VHCT74A-D.PDF","MC74VHCT74A/D (150.0kB)")</f>
        <v>MC74VHCT74A/D (150.0kB)</v>
      </c>
      <c r="D414" t="s">
        <v>528</v>
      </c>
      <c r="E414" s="2" t="s">
        <v>23</v>
      </c>
      <c r="F414" t="s">
        <v>14</v>
      </c>
      <c r="G414" s="2" t="s">
        <v>471</v>
      </c>
      <c r="H414" s="2" t="s">
        <v>82</v>
      </c>
      <c r="I414" s="2"/>
      <c r="J414" s="2" t="s">
        <v>71</v>
      </c>
      <c r="K414" s="2" t="s">
        <v>89</v>
      </c>
      <c r="L414" s="2" t="s">
        <v>272</v>
      </c>
      <c r="M414" s="2"/>
      <c r="N414" s="2" t="s">
        <v>68</v>
      </c>
      <c r="O414" s="2" t="s">
        <v>69</v>
      </c>
    </row>
    <row r="415" spans="1:15" ht="25.5">
      <c r="A415" s="7" t="s">
        <v>469</v>
      </c>
      <c r="B415" t="str">
        <f>HYPERLINK("https://www.onsemi.com/PowerSolutions/product.do?id=MM74HC175","MM74HC175")</f>
        <v>MM74HC175</v>
      </c>
      <c r="C415" t="str">
        <f>HYPERLINK("https://www.onsemi.com/pub/Collateral/MM74HC175-D.pdf","MM74HC175/D (195kB)")</f>
        <v>MM74HC175/D (195kB)</v>
      </c>
      <c r="D415" t="s">
        <v>538</v>
      </c>
      <c r="E415" s="2" t="s">
        <v>23</v>
      </c>
      <c r="F415" t="s">
        <v>14</v>
      </c>
      <c r="G415" s="2" t="s">
        <v>539</v>
      </c>
      <c r="H415" s="2" t="s">
        <v>108</v>
      </c>
      <c r="I415" s="2"/>
      <c r="J415" s="2" t="s">
        <v>82</v>
      </c>
      <c r="K415" s="2" t="s">
        <v>83</v>
      </c>
      <c r="L415" s="2" t="s">
        <v>95</v>
      </c>
      <c r="M415" s="2"/>
      <c r="N415" s="2" t="s">
        <v>97</v>
      </c>
      <c r="O415" s="2" t="s">
        <v>42</v>
      </c>
    </row>
    <row r="416" spans="1:15" ht="38.25">
      <c r="A416" s="7" t="s">
        <v>469</v>
      </c>
      <c r="B416" t="str">
        <f>HYPERLINK("https://www.onsemi.com/PowerSolutions/product.do?id=MM74HC273","MM74HC273")</f>
        <v>MM74HC273</v>
      </c>
      <c r="C416" t="str">
        <f>HYPERLINK("https://www.onsemi.com/pub/Collateral/MM74HC273-D.pdf","MM74HC273/D (224kB)")</f>
        <v>MM74HC273/D (224kB)</v>
      </c>
      <c r="D416" t="s">
        <v>540</v>
      </c>
      <c r="E416" s="2" t="s">
        <v>23</v>
      </c>
      <c r="F416" t="s">
        <v>14</v>
      </c>
      <c r="G416" s="2" t="s">
        <v>541</v>
      </c>
      <c r="H416" s="2" t="s">
        <v>68</v>
      </c>
      <c r="I416" s="2"/>
      <c r="J416" s="2" t="s">
        <v>82</v>
      </c>
      <c r="K416" s="2" t="s">
        <v>83</v>
      </c>
      <c r="L416" s="2" t="s">
        <v>525</v>
      </c>
      <c r="M416" s="2"/>
      <c r="N416" s="2" t="s">
        <v>97</v>
      </c>
      <c r="O416" s="2" t="s">
        <v>178</v>
      </c>
    </row>
    <row r="417" spans="1:15" ht="38.25">
      <c r="A417" s="7" t="s">
        <v>469</v>
      </c>
      <c r="B417" t="str">
        <f>HYPERLINK("https://www.onsemi.com/PowerSolutions/product.do?id=MM74HC374","MM74HC374")</f>
        <v>MM74HC374</v>
      </c>
      <c r="C417" t="str">
        <f>HYPERLINK("https://www.onsemi.com/pub/Collateral/MM74HC374-D.pdf","MM74HC374/D (219kB)")</f>
        <v>MM74HC374/D (219kB)</v>
      </c>
      <c r="D417" t="s">
        <v>542</v>
      </c>
      <c r="E417" s="2" t="s">
        <v>23</v>
      </c>
      <c r="F417" t="s">
        <v>14</v>
      </c>
      <c r="G417" s="2" t="s">
        <v>543</v>
      </c>
      <c r="H417" s="2" t="s">
        <v>68</v>
      </c>
      <c r="I417" s="2"/>
      <c r="J417" s="2" t="s">
        <v>82</v>
      </c>
      <c r="K417" s="2" t="s">
        <v>83</v>
      </c>
      <c r="L417" s="2" t="s">
        <v>143</v>
      </c>
      <c r="M417" s="2"/>
      <c r="N417" s="2" t="s">
        <v>237</v>
      </c>
      <c r="O417" s="2" t="s">
        <v>178</v>
      </c>
    </row>
    <row r="418" spans="1:15" ht="38.25">
      <c r="A418" s="7" t="s">
        <v>469</v>
      </c>
      <c r="B418" t="str">
        <f>HYPERLINK("https://www.onsemi.com/PowerSolutions/product.do?id=MM74HC574","MM74HC574")</f>
        <v>MM74HC574</v>
      </c>
      <c r="C418" t="str">
        <f>HYPERLINK("https://www.onsemi.com/pub/Collateral/MM74HC574-D.PDF","MM74HC574/D (139kB)")</f>
        <v>MM74HC574/D (139kB)</v>
      </c>
      <c r="D418" t="s">
        <v>544</v>
      </c>
      <c r="E418" s="2" t="s">
        <v>23</v>
      </c>
      <c r="F418" t="s">
        <v>14</v>
      </c>
      <c r="G418" s="2" t="s">
        <v>545</v>
      </c>
      <c r="H418" s="2" t="s">
        <v>68</v>
      </c>
      <c r="I418" s="2"/>
      <c r="J418" s="2" t="s">
        <v>82</v>
      </c>
      <c r="K418" s="2" t="s">
        <v>83</v>
      </c>
      <c r="L418" s="2" t="s">
        <v>525</v>
      </c>
      <c r="M418" s="2"/>
      <c r="N418" s="2" t="s">
        <v>237</v>
      </c>
      <c r="O418" s="2" t="s">
        <v>178</v>
      </c>
    </row>
    <row r="419" spans="1:15" ht="51">
      <c r="A419" s="7" t="s">
        <v>469</v>
      </c>
      <c r="B419" t="str">
        <f>HYPERLINK("https://www.onsemi.com/PowerSolutions/product.do?id=MM74HC74A","MM74HC74A")</f>
        <v>MM74HC74A</v>
      </c>
      <c r="C419" t="str">
        <f>HYPERLINK("https://www.onsemi.com/pub/Collateral/MM74HC74A-D.pdf","MM74HC74A/D (521kB)")</f>
        <v>MM74HC74A/D (521kB)</v>
      </c>
      <c r="D419" t="s">
        <v>504</v>
      </c>
      <c r="E419" s="2" t="s">
        <v>23</v>
      </c>
      <c r="F419" t="s">
        <v>14</v>
      </c>
      <c r="G419" s="2" t="s">
        <v>505</v>
      </c>
      <c r="H419" s="2" t="s">
        <v>82</v>
      </c>
      <c r="I419" s="2"/>
      <c r="J419" s="2" t="s">
        <v>82</v>
      </c>
      <c r="K419" s="2" t="s">
        <v>83</v>
      </c>
      <c r="L419" s="2" t="s">
        <v>249</v>
      </c>
      <c r="M419" s="2"/>
      <c r="N419" s="2" t="s">
        <v>97</v>
      </c>
      <c r="O419" s="2" t="s">
        <v>280</v>
      </c>
    </row>
    <row r="420" spans="1:15" ht="38.25">
      <c r="A420" s="7" t="s">
        <v>469</v>
      </c>
      <c r="B420" t="str">
        <f>HYPERLINK("https://www.onsemi.com/PowerSolutions/product.do?id=MM74HCT273","MM74HCT273")</f>
        <v>MM74HCT273</v>
      </c>
      <c r="C420" t="str">
        <f>HYPERLINK("https://www.onsemi.com/pub/Collateral/MM74HCT273-D.pdf","MM74HCT273/D (223kB)")</f>
        <v>MM74HCT273/D (223kB)</v>
      </c>
      <c r="D420" t="s">
        <v>546</v>
      </c>
      <c r="E420" s="2" t="s">
        <v>23</v>
      </c>
      <c r="F420" t="s">
        <v>14</v>
      </c>
      <c r="G420" s="2" t="s">
        <v>541</v>
      </c>
      <c r="H420" s="2" t="s">
        <v>68</v>
      </c>
      <c r="I420" s="2"/>
      <c r="J420" s="2" t="s">
        <v>71</v>
      </c>
      <c r="K420" s="2" t="s">
        <v>89</v>
      </c>
      <c r="L420" s="2" t="s">
        <v>547</v>
      </c>
      <c r="M420" s="2"/>
      <c r="N420" s="2" t="s">
        <v>289</v>
      </c>
      <c r="O420" s="2" t="s">
        <v>178</v>
      </c>
    </row>
    <row r="421" spans="1:15" ht="38.25">
      <c r="A421" s="7" t="s">
        <v>469</v>
      </c>
      <c r="B421" t="str">
        <f>HYPERLINK("https://www.onsemi.com/PowerSolutions/product.do?id=MM74HCT374","MM74HCT374")</f>
        <v>MM74HCT374</v>
      </c>
      <c r="C421" t="str">
        <f>HYPERLINK("https://www.onsemi.com/pub/Collateral/MM74HCT373-D.pdf","MM74HCT373/D (239kB)")</f>
        <v>MM74HCT373/D (239kB)</v>
      </c>
      <c r="D421" t="s">
        <v>542</v>
      </c>
      <c r="E421" s="2" t="s">
        <v>23</v>
      </c>
      <c r="F421" t="s">
        <v>14</v>
      </c>
      <c r="G421" s="2" t="s">
        <v>548</v>
      </c>
      <c r="H421" s="2" t="s">
        <v>68</v>
      </c>
      <c r="I421" s="2"/>
      <c r="J421" s="2" t="s">
        <v>71</v>
      </c>
      <c r="K421" s="2" t="s">
        <v>89</v>
      </c>
      <c r="L421" s="2" t="s">
        <v>95</v>
      </c>
      <c r="M421" s="2"/>
      <c r="N421" s="2" t="s">
        <v>200</v>
      </c>
      <c r="O421" s="2" t="s">
        <v>178</v>
      </c>
    </row>
    <row r="422" spans="1:15" ht="38.25">
      <c r="A422" s="7" t="s">
        <v>469</v>
      </c>
      <c r="B422" t="str">
        <f>HYPERLINK("https://www.onsemi.com/PowerSolutions/product.do?id=MM74HCT574","MM74HCT574")</f>
        <v>MM74HCT574</v>
      </c>
      <c r="C422" t="str">
        <f>HYPERLINK("https://www.onsemi.com/pub/Collateral/MM74HCT573-D.pdf","MM74HCT573/D (231kB)")</f>
        <v>MM74HCT573/D (231kB)</v>
      </c>
      <c r="D422" t="s">
        <v>542</v>
      </c>
      <c r="E422" s="2" t="s">
        <v>23</v>
      </c>
      <c r="F422" t="s">
        <v>14</v>
      </c>
      <c r="G422" s="2" t="s">
        <v>548</v>
      </c>
      <c r="H422" s="2" t="s">
        <v>68</v>
      </c>
      <c r="I422" s="2"/>
      <c r="J422" s="2" t="s">
        <v>71</v>
      </c>
      <c r="K422" s="2" t="s">
        <v>89</v>
      </c>
      <c r="L422" s="2" t="s">
        <v>525</v>
      </c>
      <c r="M422" s="2"/>
      <c r="N422" s="2" t="s">
        <v>200</v>
      </c>
      <c r="O422" s="2" t="s">
        <v>178</v>
      </c>
    </row>
    <row r="423" spans="1:15" ht="25.5">
      <c r="A423" s="7" t="s">
        <v>469</v>
      </c>
      <c r="B423" t="str">
        <f>HYPERLINK("https://www.onsemi.com/PowerSolutions/product.do?id=MM74HCT74","MM74HCT74")</f>
        <v>MM74HCT74</v>
      </c>
      <c r="C423" t="str">
        <f>HYPERLINK("https://www.onsemi.com/pub/Collateral/MM74HCT74-D.pdf","MM74HCT74/D (400kB)")</f>
        <v>MM74HCT74/D (400kB)</v>
      </c>
      <c r="D423" t="s">
        <v>549</v>
      </c>
      <c r="E423" s="2" t="s">
        <v>23</v>
      </c>
      <c r="F423" t="s">
        <v>14</v>
      </c>
      <c r="G423" s="2" t="s">
        <v>505</v>
      </c>
      <c r="H423" s="2" t="s">
        <v>82</v>
      </c>
      <c r="I423" s="2"/>
      <c r="J423" s="2" t="s">
        <v>71</v>
      </c>
      <c r="K423" s="2" t="s">
        <v>89</v>
      </c>
      <c r="L423" s="2" t="s">
        <v>249</v>
      </c>
      <c r="M423" s="2"/>
      <c r="N423" s="2" t="s">
        <v>289</v>
      </c>
      <c r="O423" s="2" t="s">
        <v>69</v>
      </c>
    </row>
    <row r="424" spans="1:15" ht="25.5">
      <c r="A424" s="7" t="s">
        <v>469</v>
      </c>
      <c r="B424" t="str">
        <f>HYPERLINK("https://www.onsemi.com/PowerSolutions/product.do?id=NC7SP74","NC7SP74")</f>
        <v>NC7SP74</v>
      </c>
      <c r="C424" t="str">
        <f>HYPERLINK("https://www.onsemi.com/pub/Collateral/NC7SP74-D.pdf","NC7SP74/D (351kB)")</f>
        <v>NC7SP74/D (351kB)</v>
      </c>
      <c r="D424" t="s">
        <v>550</v>
      </c>
      <c r="E424" s="2" t="s">
        <v>23</v>
      </c>
      <c r="F424" t="s">
        <v>14</v>
      </c>
      <c r="G424" s="2" t="s">
        <v>551</v>
      </c>
      <c r="H424" s="2" t="s">
        <v>116</v>
      </c>
      <c r="I424" s="2"/>
      <c r="J424" s="2" t="s">
        <v>130</v>
      </c>
      <c r="K424" s="2" t="s">
        <v>131</v>
      </c>
      <c r="L424" s="2" t="s">
        <v>148</v>
      </c>
      <c r="M424" s="2"/>
      <c r="N424" s="2" t="s">
        <v>133</v>
      </c>
      <c r="O424" s="2" t="s">
        <v>292</v>
      </c>
    </row>
    <row r="425" spans="1:15" ht="25.5">
      <c r="A425" s="7" t="s">
        <v>469</v>
      </c>
      <c r="B425" t="str">
        <f>HYPERLINK("https://www.onsemi.com/PowerSolutions/product.do?id=NC7SV74","NC7SV74")</f>
        <v>NC7SV74</v>
      </c>
      <c r="C425" t="str">
        <f>HYPERLINK("https://www.onsemi.com/pub/Collateral/NC7SV74-D.pdf","NC7SV74/D (539kB)")</f>
        <v>NC7SV74/D (539kB)</v>
      </c>
      <c r="D425" t="s">
        <v>552</v>
      </c>
      <c r="E425" s="2" t="s">
        <v>23</v>
      </c>
      <c r="F425" t="s">
        <v>14</v>
      </c>
      <c r="G425" s="2" t="s">
        <v>551</v>
      </c>
      <c r="H425" s="2" t="s">
        <v>116</v>
      </c>
      <c r="I425" s="2"/>
      <c r="J425" s="2" t="s">
        <v>130</v>
      </c>
      <c r="K425" s="2" t="s">
        <v>131</v>
      </c>
      <c r="L425" s="2" t="s">
        <v>553</v>
      </c>
      <c r="M425" s="2"/>
      <c r="N425" s="2" t="s">
        <v>86</v>
      </c>
      <c r="O425" s="2" t="s">
        <v>292</v>
      </c>
    </row>
    <row r="426" spans="1:15" ht="38.25">
      <c r="A426" s="7" t="s">
        <v>469</v>
      </c>
      <c r="B426" t="str">
        <f>HYPERLINK("https://www.onsemi.com/PowerSolutions/product.do?id=NC7SZ175","NC7SZ175")</f>
        <v>NC7SZ175</v>
      </c>
      <c r="C426" t="str">
        <f>HYPERLINK("https://www.onsemi.com/pub/Collateral/NC7SZ175-D.PDF","NC7SZ175/D (136kB)")</f>
        <v>NC7SZ175/D (136kB)</v>
      </c>
      <c r="D426" t="s">
        <v>554</v>
      </c>
      <c r="E426" s="2" t="s">
        <v>23</v>
      </c>
      <c r="F426" t="s">
        <v>14</v>
      </c>
      <c r="G426" s="2" t="s">
        <v>555</v>
      </c>
      <c r="H426" s="2" t="s">
        <v>116</v>
      </c>
      <c r="I426" s="2"/>
      <c r="J426" s="2" t="s">
        <v>127</v>
      </c>
      <c r="K426" s="2" t="s">
        <v>89</v>
      </c>
      <c r="L426" s="2" t="s">
        <v>108</v>
      </c>
      <c r="M426" s="2"/>
      <c r="N426" s="2" t="s">
        <v>143</v>
      </c>
      <c r="O426" s="2" t="s">
        <v>333</v>
      </c>
    </row>
    <row r="427" spans="1:15" ht="38.25">
      <c r="A427" s="7" t="s">
        <v>469</v>
      </c>
      <c r="B427" t="str">
        <f>HYPERLINK("https://www.onsemi.com/PowerSolutions/product.do?id=NC7SZ374","NC7SZ374")</f>
        <v>NC7SZ374</v>
      </c>
      <c r="C427" t="str">
        <f>HYPERLINK("https://www.onsemi.com/pub/Collateral/NC7SZ374-D.PDF","NC7SZ374/D (91kB)")</f>
        <v>NC7SZ374/D (91kB)</v>
      </c>
      <c r="D427" t="s">
        <v>556</v>
      </c>
      <c r="E427" s="2" t="s">
        <v>23</v>
      </c>
      <c r="F427" t="s">
        <v>14</v>
      </c>
      <c r="G427" s="2" t="s">
        <v>557</v>
      </c>
      <c r="H427" s="2" t="s">
        <v>116</v>
      </c>
      <c r="I427" s="2"/>
      <c r="J427" s="2" t="s">
        <v>127</v>
      </c>
      <c r="K427" s="2" t="s">
        <v>89</v>
      </c>
      <c r="L427" s="2" t="s">
        <v>108</v>
      </c>
      <c r="M427" s="2"/>
      <c r="N427" s="2" t="s">
        <v>143</v>
      </c>
      <c r="O427" s="2" t="s">
        <v>333</v>
      </c>
    </row>
    <row r="428" spans="1:15" ht="25.5">
      <c r="A428" s="7" t="s">
        <v>469</v>
      </c>
      <c r="B428" t="str">
        <f>HYPERLINK("https://www.onsemi.com/PowerSolutions/product.do?id=NC7SZ74","NC7SZ74")</f>
        <v>NC7SZ74</v>
      </c>
      <c r="C428" t="str">
        <f>HYPERLINK("https://www.onsemi.com/pub/Collateral/NC7SZ74-D.PDF","NC7SZ74/D (78kB)")</f>
        <v>NC7SZ74/D (78kB)</v>
      </c>
      <c r="D428" t="s">
        <v>558</v>
      </c>
      <c r="E428" s="2" t="s">
        <v>23</v>
      </c>
      <c r="F428" t="s">
        <v>14</v>
      </c>
      <c r="G428" s="2" t="s">
        <v>551</v>
      </c>
      <c r="H428" s="2" t="s">
        <v>116</v>
      </c>
      <c r="I428" s="2"/>
      <c r="J428" s="2" t="s">
        <v>127</v>
      </c>
      <c r="K428" s="2" t="s">
        <v>89</v>
      </c>
      <c r="L428" s="2" t="s">
        <v>151</v>
      </c>
      <c r="M428" s="2"/>
      <c r="N428" s="2" t="s">
        <v>143</v>
      </c>
      <c r="O428" s="2" t="s">
        <v>292</v>
      </c>
    </row>
    <row r="429" spans="1:15" ht="25.5">
      <c r="A429" s="7" t="s">
        <v>469</v>
      </c>
      <c r="B429" t="str">
        <f>HYPERLINK("https://www.onsemi.com/PowerSolutions/product.do?id=NLSF1174","NLSF1174")</f>
        <v>NLSF1174</v>
      </c>
      <c r="C429" t="str">
        <f>HYPERLINK("https://www.onsemi.com/pub/Collateral/NLSF1174-D.PDF","NLSF1174/D (81.0kB)")</f>
        <v>NLSF1174/D (81.0kB)</v>
      </c>
      <c r="D429" t="s">
        <v>559</v>
      </c>
      <c r="E429" s="2" t="s">
        <v>23</v>
      </c>
      <c r="F429" t="s">
        <v>14</v>
      </c>
      <c r="G429" s="2" t="s">
        <v>471</v>
      </c>
      <c r="H429" s="2" t="s">
        <v>82</v>
      </c>
      <c r="I429" s="2"/>
      <c r="J429" s="2" t="s">
        <v>82</v>
      </c>
      <c r="K429" s="2" t="s">
        <v>83</v>
      </c>
      <c r="L429" s="2" t="s">
        <v>232</v>
      </c>
      <c r="M429" s="2"/>
      <c r="N429" s="2" t="s">
        <v>108</v>
      </c>
      <c r="O429" s="2" t="s">
        <v>397</v>
      </c>
    </row>
    <row r="430" spans="1:15" ht="51">
      <c r="A430" s="7" t="s">
        <v>469</v>
      </c>
      <c r="B430" t="str">
        <f>HYPERLINK("https://www.onsemi.com/PowerSolutions/product.do?id=NLX1G74","NLX1G74")</f>
        <v>NLX1G74</v>
      </c>
      <c r="C430" t="str">
        <f>HYPERLINK("https://www.onsemi.com/pub/Collateral/NLX1G74-D.PDF","NLX1G74/D (117.0kB)")</f>
        <v>NLX1G74/D (117.0kB)</v>
      </c>
      <c r="D430" t="s">
        <v>470</v>
      </c>
      <c r="E430" s="2" t="s">
        <v>109</v>
      </c>
      <c r="F430" t="s">
        <v>14</v>
      </c>
      <c r="G430" s="2" t="s">
        <v>471</v>
      </c>
      <c r="H430" s="2" t="s">
        <v>116</v>
      </c>
      <c r="I430" s="2"/>
      <c r="J430" s="2" t="s">
        <v>127</v>
      </c>
      <c r="K430" s="2" t="s">
        <v>89</v>
      </c>
      <c r="L430" s="2" t="s">
        <v>133</v>
      </c>
      <c r="M430" s="2"/>
      <c r="N430" s="2" t="s">
        <v>143</v>
      </c>
      <c r="O430" s="2" t="s">
        <v>560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Arithmetic Logic Functions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杨慧恒</dc:creator>
  <cp:lastModifiedBy>zlgmcu1</cp:lastModifiedBy>
  <dcterms:created xsi:type="dcterms:W3CDTF">2020-08-27T06:14:33Z</dcterms:created>
  <dcterms:modified xsi:type="dcterms:W3CDTF">2020-08-27T06:14:33Z</dcterms:modified>
</cp:coreProperties>
</file>