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henzhiyong\Desktop\"/>
    </mc:Choice>
  </mc:AlternateContent>
  <bookViews>
    <workbookView xWindow="360" yWindow="270" windowWidth="14940" windowHeight="9150"/>
  </bookViews>
  <sheets>
    <sheet name="Motor Drivers, Brushed" sheetId="1" r:id="rId1"/>
  </sheets>
  <calcPr calcId="162913"/>
</workbook>
</file>

<file path=xl/calcChain.xml><?xml version="1.0" encoding="utf-8"?>
<calcChain xmlns="http://schemas.openxmlformats.org/spreadsheetml/2006/main">
  <c r="C208" i="1" l="1"/>
  <c r="B208" i="1"/>
  <c r="C207" i="1"/>
  <c r="B207" i="1"/>
  <c r="C206" i="1"/>
  <c r="B206" i="1"/>
  <c r="C205" i="1"/>
  <c r="B205" i="1"/>
  <c r="C204" i="1"/>
  <c r="B204" i="1"/>
  <c r="C203" i="1"/>
  <c r="B203" i="1"/>
  <c r="C202" i="1"/>
  <c r="B202" i="1"/>
  <c r="C201" i="1"/>
  <c r="B201" i="1"/>
  <c r="C200" i="1"/>
  <c r="B200" i="1"/>
  <c r="C199" i="1"/>
  <c r="B199" i="1"/>
  <c r="C198" i="1"/>
  <c r="B198" i="1"/>
  <c r="C197" i="1"/>
  <c r="B197" i="1"/>
  <c r="C196" i="1"/>
  <c r="B196" i="1"/>
  <c r="C195" i="1"/>
  <c r="B195" i="1"/>
  <c r="C194" i="1"/>
  <c r="B194" i="1"/>
  <c r="C193" i="1"/>
  <c r="B193" i="1"/>
  <c r="C192" i="1"/>
  <c r="B192" i="1"/>
  <c r="C191" i="1"/>
  <c r="B191" i="1"/>
  <c r="C190" i="1"/>
  <c r="B190" i="1"/>
  <c r="C189" i="1"/>
  <c r="B189" i="1"/>
  <c r="C188" i="1"/>
  <c r="B188" i="1"/>
  <c r="C187" i="1"/>
  <c r="B187" i="1"/>
  <c r="C186" i="1"/>
  <c r="B186" i="1"/>
  <c r="C185" i="1"/>
  <c r="B185" i="1"/>
  <c r="C184" i="1"/>
  <c r="B184" i="1"/>
  <c r="C183" i="1"/>
  <c r="B183" i="1"/>
  <c r="C182" i="1"/>
  <c r="B182" i="1"/>
  <c r="C181" i="1"/>
  <c r="B181" i="1"/>
  <c r="C180" i="1"/>
  <c r="B180" i="1"/>
  <c r="C179" i="1"/>
  <c r="B179" i="1"/>
  <c r="C178" i="1"/>
  <c r="B178" i="1"/>
  <c r="C177" i="1"/>
  <c r="B177" i="1"/>
  <c r="C176" i="1"/>
  <c r="B176" i="1"/>
  <c r="C175" i="1"/>
  <c r="B175" i="1"/>
  <c r="C174" i="1"/>
  <c r="B174" i="1"/>
  <c r="C173" i="1"/>
  <c r="B173" i="1"/>
  <c r="C172" i="1"/>
  <c r="B172" i="1"/>
  <c r="C171" i="1"/>
  <c r="B171" i="1"/>
  <c r="C170" i="1"/>
  <c r="B170" i="1"/>
  <c r="C169" i="1"/>
  <c r="B169" i="1"/>
  <c r="C168" i="1"/>
  <c r="B168" i="1"/>
  <c r="C167" i="1"/>
  <c r="B167" i="1"/>
  <c r="C166" i="1"/>
  <c r="B166" i="1"/>
  <c r="C165" i="1"/>
  <c r="B165" i="1"/>
  <c r="C164" i="1"/>
  <c r="B164" i="1"/>
  <c r="C163" i="1"/>
  <c r="B163" i="1"/>
  <c r="C162" i="1"/>
  <c r="B162" i="1"/>
  <c r="C161" i="1"/>
  <c r="B161" i="1"/>
  <c r="C160" i="1"/>
  <c r="B160" i="1"/>
  <c r="C159" i="1"/>
  <c r="B159" i="1"/>
  <c r="C158" i="1"/>
  <c r="B158" i="1"/>
  <c r="C157" i="1"/>
  <c r="B157" i="1"/>
  <c r="C156" i="1"/>
  <c r="B156" i="1"/>
  <c r="C155" i="1"/>
  <c r="B155" i="1"/>
  <c r="C154" i="1"/>
  <c r="B154" i="1"/>
  <c r="C153" i="1"/>
  <c r="B153" i="1"/>
  <c r="C152" i="1"/>
  <c r="B152" i="1"/>
  <c r="C151" i="1"/>
  <c r="B151" i="1"/>
  <c r="C150" i="1"/>
  <c r="B150" i="1"/>
  <c r="C149" i="1"/>
  <c r="B149" i="1"/>
  <c r="C148" i="1"/>
  <c r="B148" i="1"/>
  <c r="C147" i="1"/>
  <c r="B147" i="1"/>
  <c r="C146" i="1"/>
  <c r="B146" i="1"/>
  <c r="C145" i="1"/>
  <c r="B145" i="1"/>
  <c r="C144" i="1"/>
  <c r="B144" i="1"/>
  <c r="C143" i="1"/>
  <c r="B143" i="1"/>
  <c r="C142" i="1"/>
  <c r="B142" i="1"/>
  <c r="C141" i="1"/>
  <c r="B141" i="1"/>
  <c r="C140" i="1"/>
  <c r="B140" i="1"/>
  <c r="C139" i="1"/>
  <c r="B139" i="1"/>
  <c r="C138" i="1"/>
  <c r="B138" i="1"/>
  <c r="C137" i="1"/>
  <c r="B137" i="1"/>
  <c r="C136" i="1"/>
  <c r="B136" i="1"/>
  <c r="C135" i="1"/>
  <c r="B135" i="1"/>
  <c r="C134" i="1"/>
  <c r="B134" i="1"/>
  <c r="C133" i="1"/>
  <c r="B133" i="1"/>
  <c r="C132" i="1"/>
  <c r="B132" i="1"/>
  <c r="C131" i="1"/>
  <c r="B131" i="1"/>
  <c r="C130" i="1"/>
  <c r="B130" i="1"/>
  <c r="C129" i="1"/>
  <c r="B129" i="1"/>
  <c r="C128" i="1"/>
  <c r="B128" i="1"/>
  <c r="C127" i="1"/>
  <c r="B127" i="1"/>
  <c r="C126" i="1"/>
  <c r="B126" i="1"/>
  <c r="C125" i="1"/>
  <c r="B125" i="1"/>
  <c r="C124" i="1"/>
  <c r="B124" i="1"/>
  <c r="C123" i="1"/>
  <c r="B123" i="1"/>
  <c r="C122" i="1"/>
  <c r="B122" i="1"/>
  <c r="C121" i="1"/>
  <c r="B121" i="1"/>
  <c r="C120" i="1"/>
  <c r="B120" i="1"/>
  <c r="C119" i="1"/>
  <c r="B119" i="1"/>
  <c r="C118" i="1"/>
  <c r="B118" i="1"/>
  <c r="C117" i="1"/>
  <c r="B117" i="1"/>
  <c r="C116" i="1"/>
  <c r="B116" i="1"/>
  <c r="C115" i="1"/>
  <c r="B115" i="1"/>
  <c r="C114" i="1"/>
  <c r="B114" i="1"/>
  <c r="C113" i="1"/>
  <c r="B113" i="1"/>
  <c r="C112" i="1"/>
  <c r="B112" i="1"/>
  <c r="C111" i="1"/>
  <c r="B111" i="1"/>
  <c r="C110" i="1"/>
  <c r="B110" i="1"/>
  <c r="C109" i="1"/>
  <c r="B109" i="1"/>
  <c r="C108" i="1"/>
  <c r="B108" i="1"/>
  <c r="C107" i="1"/>
  <c r="B107" i="1"/>
  <c r="C106" i="1"/>
  <c r="B106" i="1"/>
  <c r="C105" i="1"/>
  <c r="B105" i="1"/>
  <c r="C104" i="1"/>
  <c r="B104" i="1"/>
  <c r="C103" i="1"/>
  <c r="B103" i="1"/>
  <c r="C102" i="1"/>
  <c r="B102" i="1"/>
  <c r="C101" i="1"/>
  <c r="B101" i="1"/>
  <c r="C100" i="1"/>
  <c r="B100" i="1"/>
  <c r="C99" i="1"/>
  <c r="B99" i="1"/>
  <c r="C98" i="1"/>
  <c r="B98" i="1"/>
  <c r="C97" i="1"/>
  <c r="B97" i="1"/>
  <c r="C96" i="1"/>
  <c r="B96" i="1"/>
  <c r="C95" i="1"/>
  <c r="B95" i="1"/>
  <c r="C94" i="1"/>
  <c r="B94" i="1"/>
  <c r="C93" i="1"/>
  <c r="B93" i="1"/>
  <c r="C92" i="1"/>
  <c r="B92" i="1"/>
  <c r="C91" i="1"/>
  <c r="B91" i="1"/>
  <c r="C90" i="1"/>
  <c r="B90" i="1"/>
  <c r="C89" i="1"/>
  <c r="B89" i="1"/>
  <c r="C88" i="1"/>
  <c r="B88" i="1"/>
  <c r="C87" i="1"/>
  <c r="B87" i="1"/>
  <c r="C86" i="1"/>
  <c r="B86" i="1"/>
  <c r="C85" i="1"/>
  <c r="B85" i="1"/>
  <c r="C84" i="1"/>
  <c r="B84" i="1"/>
  <c r="C83" i="1"/>
  <c r="B83" i="1"/>
  <c r="C82" i="1"/>
  <c r="B82" i="1"/>
  <c r="C81" i="1"/>
  <c r="B81" i="1"/>
  <c r="C80" i="1"/>
  <c r="B80" i="1"/>
  <c r="C79" i="1"/>
  <c r="B79" i="1"/>
  <c r="C78" i="1"/>
  <c r="B78" i="1"/>
  <c r="C77" i="1"/>
  <c r="B77" i="1"/>
  <c r="C76" i="1"/>
  <c r="B76" i="1"/>
  <c r="C75" i="1"/>
  <c r="B75" i="1"/>
  <c r="C74" i="1"/>
  <c r="B74" i="1"/>
  <c r="C73" i="1"/>
  <c r="B73" i="1"/>
  <c r="C72" i="1"/>
  <c r="B72" i="1"/>
  <c r="C71" i="1"/>
  <c r="B71" i="1"/>
  <c r="C70" i="1"/>
  <c r="B70" i="1"/>
  <c r="C69" i="1"/>
  <c r="B69" i="1"/>
  <c r="C68" i="1"/>
  <c r="B68" i="1"/>
  <c r="C67" i="1"/>
  <c r="B67" i="1"/>
  <c r="C66" i="1"/>
  <c r="B66" i="1"/>
  <c r="C65" i="1"/>
  <c r="B65" i="1"/>
  <c r="C64" i="1"/>
  <c r="B64" i="1"/>
  <c r="C63" i="1"/>
  <c r="B63" i="1"/>
  <c r="C62" i="1"/>
  <c r="B62" i="1"/>
  <c r="C61" i="1"/>
  <c r="B61" i="1"/>
  <c r="C60" i="1"/>
  <c r="B60" i="1"/>
  <c r="C59" i="1"/>
  <c r="B59" i="1"/>
  <c r="C58" i="1"/>
  <c r="B58" i="1"/>
  <c r="C57" i="1"/>
  <c r="B57" i="1"/>
  <c r="C56" i="1"/>
  <c r="B56" i="1"/>
  <c r="C55" i="1"/>
  <c r="B55" i="1"/>
  <c r="C54" i="1"/>
  <c r="B54" i="1"/>
  <c r="C53" i="1"/>
  <c r="B53" i="1"/>
  <c r="C52" i="1"/>
  <c r="B52" i="1"/>
  <c r="C51" i="1"/>
  <c r="B51" i="1"/>
  <c r="C50" i="1"/>
  <c r="B50" i="1"/>
  <c r="C49" i="1"/>
  <c r="B49" i="1"/>
  <c r="C48" i="1"/>
  <c r="B48" i="1"/>
  <c r="C47" i="1"/>
  <c r="B47" i="1"/>
  <c r="C46" i="1"/>
  <c r="B46" i="1"/>
  <c r="C45" i="1"/>
  <c r="B45" i="1"/>
  <c r="C44" i="1"/>
  <c r="B44" i="1"/>
  <c r="C43" i="1"/>
  <c r="B43" i="1"/>
  <c r="C42" i="1"/>
  <c r="B42" i="1"/>
  <c r="C41" i="1"/>
  <c r="B41" i="1"/>
  <c r="C40" i="1"/>
  <c r="B40" i="1"/>
  <c r="C39" i="1"/>
  <c r="B39" i="1"/>
  <c r="C38" i="1"/>
  <c r="B38" i="1"/>
  <c r="C37" i="1"/>
  <c r="B37" i="1"/>
  <c r="C36" i="1"/>
  <c r="B36" i="1"/>
  <c r="C35" i="1"/>
  <c r="B35" i="1"/>
  <c r="C34" i="1"/>
  <c r="B34" i="1"/>
  <c r="C33" i="1"/>
  <c r="B33" i="1"/>
  <c r="C32" i="1"/>
  <c r="B32" i="1"/>
  <c r="C31" i="1"/>
  <c r="B31" i="1"/>
  <c r="C30" i="1"/>
  <c r="B30" i="1"/>
  <c r="C29" i="1"/>
  <c r="B29" i="1"/>
  <c r="C28" i="1"/>
  <c r="B28" i="1"/>
  <c r="C27" i="1"/>
  <c r="B27" i="1"/>
  <c r="C26" i="1"/>
  <c r="B26" i="1"/>
  <c r="C25" i="1"/>
  <c r="B25" i="1"/>
  <c r="C24" i="1"/>
  <c r="B24" i="1"/>
  <c r="C23" i="1"/>
  <c r="B23" i="1"/>
  <c r="C22" i="1"/>
  <c r="B22" i="1"/>
  <c r="B2" i="1"/>
  <c r="C2" i="1"/>
  <c r="B3" i="1"/>
  <c r="C3" i="1"/>
  <c r="B4" i="1"/>
  <c r="C4" i="1"/>
  <c r="B5" i="1"/>
  <c r="C5" i="1"/>
  <c r="B6" i="1"/>
  <c r="C6" i="1"/>
  <c r="B7" i="1"/>
  <c r="C7" i="1"/>
  <c r="B8" i="1"/>
  <c r="C8" i="1"/>
  <c r="B9" i="1"/>
  <c r="C9" i="1"/>
  <c r="B10" i="1"/>
  <c r="C10" i="1"/>
  <c r="B11" i="1"/>
  <c r="C11" i="1"/>
  <c r="B12" i="1"/>
  <c r="C12" i="1"/>
  <c r="B13" i="1"/>
  <c r="C13" i="1"/>
  <c r="B14" i="1"/>
  <c r="C14" i="1"/>
  <c r="B15" i="1"/>
  <c r="C15" i="1"/>
  <c r="B16" i="1"/>
  <c r="C16" i="1"/>
  <c r="B17" i="1"/>
  <c r="C17" i="1"/>
  <c r="B18" i="1"/>
  <c r="C18" i="1"/>
  <c r="B19" i="1"/>
  <c r="C19" i="1"/>
  <c r="B20" i="1"/>
  <c r="C20" i="1"/>
  <c r="B21" i="1"/>
  <c r="C21" i="1"/>
</calcChain>
</file>

<file path=xl/comments1.xml><?xml version="1.0" encoding="utf-8"?>
<comments xmlns="http://schemas.openxmlformats.org/spreadsheetml/2006/main">
  <authors>
    <author/>
  </authors>
  <commentList>
    <comment ref="I8" authorId="0" shapeId="0">
      <text>
        <r>
          <rPr>
            <sz val="10"/>
            <rFont val="Arial"/>
            <family val="2"/>
          </rPr>
          <t>avs</t>
        </r>
      </text>
    </comment>
    <comment ref="J8" authorId="0" shapeId="0">
      <text>
        <r>
          <rPr>
            <sz val="10"/>
            <rFont val="Arial"/>
            <family val="2"/>
          </rPr>
          <t>ope</t>
        </r>
      </text>
    </comment>
    <comment ref="K8" authorId="0" shapeId="0">
      <text>
        <r>
          <rPr>
            <sz val="10"/>
            <rFont val="Arial"/>
            <family val="2"/>
          </rPr>
          <t>ope</t>
        </r>
      </text>
    </comment>
    <comment ref="L8" authorId="0" shapeId="0">
      <text>
        <r>
          <rPr>
            <sz val="10"/>
            <rFont val="Arial"/>
            <family val="2"/>
          </rPr>
          <t>avs</t>
        </r>
      </text>
    </comment>
    <comment ref="O20" authorId="0" shapeId="0">
      <text>
        <r>
          <rPr>
            <sz val="10"/>
            <rFont val="Arial"/>
            <family val="2"/>
          </rPr>
          <t>PW=15ms</t>
        </r>
      </text>
    </comment>
    <comment ref="O21" authorId="0" shapeId="0">
      <text>
        <r>
          <rPr>
            <sz val="10"/>
            <rFont val="Arial"/>
            <family val="2"/>
          </rPr>
          <t>PW=60ms</t>
        </r>
      </text>
    </comment>
    <comment ref="Q22" authorId="0" shapeId="0">
      <text>
        <r>
          <rPr>
            <sz val="10"/>
            <rFont val="Arial"/>
            <family val="2"/>
          </rPr>
          <t>2 wire</t>
        </r>
      </text>
    </comment>
    <comment ref="N23" authorId="0" shapeId="0">
      <text>
        <r>
          <rPr>
            <sz val="10"/>
            <rFont val="Arial"/>
            <family val="2"/>
          </rPr>
          <t>Pre driver. Motor current max is determined by the motor driver circuit specification.</t>
        </r>
      </text>
    </comment>
    <comment ref="O23" authorId="0" shapeId="0">
      <text>
        <r>
          <rPr>
            <sz val="10"/>
            <rFont val="Arial"/>
            <family val="2"/>
          </rPr>
          <t>Pre driver. Motor current max is determined by the motor driver circuit specification.</t>
        </r>
      </text>
    </comment>
    <comment ref="K59" authorId="0" shapeId="0">
      <text>
        <r>
          <rPr>
            <sz val="10"/>
            <rFont val="Arial"/>
            <family val="2"/>
          </rPr>
          <t>VIN</t>
        </r>
      </text>
    </comment>
    <comment ref="L59" authorId="0" shapeId="0">
      <text>
        <r>
          <rPr>
            <sz val="10"/>
            <rFont val="Arial"/>
            <family val="2"/>
          </rPr>
          <t>VIN</t>
        </r>
      </text>
    </comment>
    <comment ref="K60" authorId="0" shapeId="0">
      <text>
        <r>
          <rPr>
            <sz val="10"/>
            <rFont val="Arial"/>
            <family val="2"/>
          </rPr>
          <t>VIN</t>
        </r>
      </text>
    </comment>
    <comment ref="L60" authorId="0" shapeId="0">
      <text>
        <r>
          <rPr>
            <sz val="10"/>
            <rFont val="Arial"/>
            <family val="2"/>
          </rPr>
          <t>VIN</t>
        </r>
      </text>
    </comment>
    <comment ref="I63" authorId="0" shapeId="0">
      <text>
        <r>
          <rPr>
            <sz val="10"/>
            <rFont val="Arial"/>
            <family val="2"/>
          </rPr>
          <t>Constant current / H Bridge PWM</t>
        </r>
      </text>
    </comment>
    <comment ref="N63" authorId="0" shapeId="0">
      <text>
        <r>
          <rPr>
            <sz val="10"/>
            <rFont val="Arial"/>
            <family val="2"/>
          </rPr>
          <t>OUT1-4/OUT5-6</t>
        </r>
      </text>
    </comment>
    <comment ref="O63" authorId="0" shapeId="0">
      <text>
        <r>
          <rPr>
            <sz val="10"/>
            <rFont val="Arial"/>
            <family val="2"/>
          </rPr>
          <t>OUT1-4/OUT5-6</t>
        </r>
      </text>
    </comment>
    <comment ref="Q63" authorId="0" shapeId="0">
      <text>
        <r>
          <rPr>
            <sz val="10"/>
            <rFont val="Arial"/>
            <family val="2"/>
          </rPr>
          <t>2 wire Bus</t>
        </r>
      </text>
    </comment>
    <comment ref="N64" authorId="0" shapeId="0">
      <text>
        <r>
          <rPr>
            <sz val="10"/>
            <rFont val="Arial"/>
            <family val="2"/>
          </rPr>
          <t>OIS/AF</t>
        </r>
      </text>
    </comment>
    <comment ref="Q64" authorId="0" shapeId="0">
      <text>
        <r>
          <rPr>
            <sz val="10"/>
            <rFont val="Arial"/>
            <family val="2"/>
          </rPr>
          <t>2 wire Bus</t>
        </r>
      </text>
    </comment>
    <comment ref="N65" authorId="0" shapeId="0">
      <text>
        <r>
          <rPr>
            <sz val="10"/>
            <rFont val="Arial"/>
            <family val="2"/>
          </rPr>
          <t>OIS/AF</t>
        </r>
      </text>
    </comment>
    <comment ref="Q65" authorId="0" shapeId="0">
      <text>
        <r>
          <rPr>
            <sz val="10"/>
            <rFont val="Arial"/>
            <family val="2"/>
          </rPr>
          <t>2-wire</t>
        </r>
      </text>
    </comment>
    <comment ref="K66" authorId="0" shapeId="0">
      <text>
        <r>
          <rPr>
            <sz val="10"/>
            <rFont val="Arial"/>
            <family val="2"/>
          </rPr>
          <t>AVDD/IOVDD</t>
        </r>
      </text>
    </comment>
    <comment ref="N66" authorId="0" shapeId="0">
      <text>
        <r>
          <rPr>
            <sz val="10"/>
            <rFont val="Arial"/>
            <family val="2"/>
          </rPr>
          <t>OIS/AF</t>
        </r>
      </text>
    </comment>
    <comment ref="Q66" authorId="0" shapeId="0">
      <text>
        <r>
          <rPr>
            <sz val="10"/>
            <rFont val="Arial"/>
            <family val="2"/>
          </rPr>
          <t>2-wire</t>
        </r>
      </text>
    </comment>
    <comment ref="K67" authorId="0" shapeId="0">
      <text>
        <r>
          <rPr>
            <sz val="10"/>
            <rFont val="Arial"/>
            <family val="2"/>
          </rPr>
          <t>AVDD/IOVDD</t>
        </r>
      </text>
    </comment>
    <comment ref="N67" authorId="0" shapeId="0">
      <text>
        <r>
          <rPr>
            <sz val="10"/>
            <rFont val="Arial"/>
            <family val="2"/>
          </rPr>
          <t>OIS/AF</t>
        </r>
      </text>
    </comment>
    <comment ref="Q67" authorId="0" shapeId="0">
      <text>
        <r>
          <rPr>
            <sz val="10"/>
            <rFont val="Arial"/>
            <family val="2"/>
          </rPr>
          <t>2-wire</t>
        </r>
      </text>
    </comment>
    <comment ref="Q68" authorId="0" shapeId="0">
      <text>
        <r>
          <rPr>
            <sz val="10"/>
            <rFont val="Arial"/>
            <family val="2"/>
          </rPr>
          <t>2 wire</t>
        </r>
      </text>
    </comment>
    <comment ref="Q69" authorId="0" shapeId="0">
      <text>
        <r>
          <rPr>
            <sz val="10"/>
            <rFont val="Arial"/>
            <family val="2"/>
          </rPr>
          <t>I2C/EN/PWM</t>
        </r>
      </text>
    </comment>
    <comment ref="Q70" authorId="0" shapeId="0">
      <text>
        <r>
          <rPr>
            <sz val="10"/>
            <rFont val="Arial"/>
            <family val="2"/>
          </rPr>
          <t>I2C/EN/PWM</t>
        </r>
      </text>
    </comment>
    <comment ref="Q71" authorId="0" shapeId="0">
      <text>
        <r>
          <rPr>
            <sz val="10"/>
            <rFont val="Arial"/>
            <family val="2"/>
          </rPr>
          <t>PWM/EN</t>
        </r>
      </text>
    </comment>
    <comment ref="N91" authorId="0" shapeId="0">
      <text>
        <r>
          <rPr>
            <sz val="10"/>
            <rFont val="Arial"/>
            <family val="2"/>
          </rPr>
          <t>pre driver</t>
        </r>
      </text>
    </comment>
    <comment ref="O91" authorId="0" shapeId="0">
      <text>
        <r>
          <rPr>
            <sz val="10"/>
            <rFont val="Arial"/>
            <family val="2"/>
          </rPr>
          <t>pre driver</t>
        </r>
      </text>
    </comment>
    <comment ref="N101" authorId="0" shapeId="0">
      <text>
        <r>
          <rPr>
            <sz val="10"/>
            <rFont val="Arial"/>
            <family val="2"/>
          </rPr>
          <t>BLDC pre driver</t>
        </r>
      </text>
    </comment>
    <comment ref="O101" authorId="0" shapeId="0">
      <text>
        <r>
          <rPr>
            <sz val="10"/>
            <rFont val="Arial"/>
            <family val="2"/>
          </rPr>
          <t>BLDC pre drive</t>
        </r>
      </text>
    </comment>
    <comment ref="J105" authorId="0" shapeId="0">
      <text>
        <r>
          <rPr>
            <sz val="10"/>
            <rFont val="Arial"/>
            <family val="2"/>
          </rPr>
          <t>(clamped)</t>
        </r>
      </text>
    </comment>
    <comment ref="P107" authorId="0" shapeId="0">
      <text>
        <r>
          <rPr>
            <sz val="10"/>
            <rFont val="Arial"/>
            <family val="2"/>
          </rPr>
          <t>all intermediate resolutions up to 1/128</t>
        </r>
      </text>
    </comment>
    <comment ref="S107" authorId="0" shapeId="0">
      <text>
        <r>
          <rPr>
            <sz val="10"/>
            <rFont val="Arial"/>
            <family val="2"/>
          </rPr>
          <t>seperate warning and shut down</t>
        </r>
      </text>
    </comment>
    <comment ref="Q108" authorId="0" shapeId="0">
      <text>
        <r>
          <rPr>
            <sz val="10"/>
            <rFont val="Arial"/>
            <family val="2"/>
          </rPr>
          <t>SPI + NXT</t>
        </r>
      </text>
    </comment>
    <comment ref="Q109" authorId="0" shapeId="0">
      <text>
        <r>
          <rPr>
            <sz val="10"/>
            <rFont val="Arial"/>
            <family val="2"/>
          </rPr>
          <t>SPI + NXT</t>
        </r>
      </text>
    </comment>
    <comment ref="Q110" authorId="0" shapeId="0">
      <text>
        <r>
          <rPr>
            <sz val="10"/>
            <rFont val="Arial"/>
            <family val="2"/>
          </rPr>
          <t>SPI + NXT</t>
        </r>
      </text>
    </comment>
    <comment ref="Q111" authorId="0" shapeId="0">
      <text>
        <r>
          <rPr>
            <sz val="10"/>
            <rFont val="Arial"/>
            <family val="2"/>
          </rPr>
          <t>SPI + NXT</t>
        </r>
      </text>
    </comment>
    <comment ref="Q112" authorId="0" shapeId="0">
      <text>
        <r>
          <rPr>
            <sz val="10"/>
            <rFont val="Arial"/>
            <family val="2"/>
          </rPr>
          <t>SPI + NXT</t>
        </r>
      </text>
    </comment>
    <comment ref="Q126" authorId="0" shapeId="0">
      <text>
        <r>
          <rPr>
            <sz val="10"/>
            <rFont val="Arial"/>
            <family val="2"/>
          </rPr>
          <t>Serial/I2C</t>
        </r>
      </text>
    </comment>
    <comment ref="N129" authorId="0" shapeId="0">
      <text>
        <r>
          <rPr>
            <sz val="10"/>
            <rFont val="Arial"/>
            <family val="2"/>
          </rPr>
          <t>OIS/AF</t>
        </r>
      </text>
    </comment>
    <comment ref="N130" authorId="0" shapeId="0">
      <text>
        <r>
          <rPr>
            <sz val="10"/>
            <rFont val="Arial"/>
            <family val="2"/>
          </rPr>
          <t>OUT1-6/OUT7</t>
        </r>
      </text>
    </comment>
    <comment ref="O130" authorId="0" shapeId="0">
      <text>
        <r>
          <rPr>
            <sz val="10"/>
            <rFont val="Arial"/>
            <family val="2"/>
          </rPr>
          <t>OUT1-6/OUT7</t>
        </r>
      </text>
    </comment>
    <comment ref="P130" authorId="0" shapeId="0">
      <text>
        <r>
          <rPr>
            <sz val="10"/>
            <rFont val="Arial"/>
            <family val="2"/>
          </rPr>
          <t>1024step</t>
        </r>
      </text>
    </comment>
    <comment ref="Q133" authorId="0" shapeId="0">
      <text>
        <r>
          <rPr>
            <sz val="10"/>
            <rFont val="Arial"/>
            <family val="2"/>
          </rPr>
          <t>2-wire serial I/F</t>
        </r>
      </text>
    </comment>
    <comment ref="Q134" authorId="0" shapeId="0">
      <text>
        <r>
          <rPr>
            <sz val="10"/>
            <rFont val="Arial"/>
            <family val="2"/>
          </rPr>
          <t>2 wire serial</t>
        </r>
      </text>
    </comment>
    <comment ref="Q135" authorId="0" shapeId="0">
      <text>
        <r>
          <rPr>
            <sz val="10"/>
            <rFont val="Arial"/>
            <family val="2"/>
          </rPr>
          <t>2-wire</t>
        </r>
      </text>
    </comment>
    <comment ref="I136" authorId="0" shapeId="0">
      <text>
        <r>
          <rPr>
            <sz val="10"/>
            <rFont val="Arial"/>
            <family val="2"/>
          </rPr>
          <t>AVDD, DVDD1</t>
        </r>
      </text>
    </comment>
    <comment ref="J136" authorId="0" shapeId="0">
      <text>
        <r>
          <rPr>
            <sz val="10"/>
            <rFont val="Arial"/>
            <family val="2"/>
          </rPr>
          <t>AVDD, DVDD1</t>
        </r>
      </text>
    </comment>
    <comment ref="K136" authorId="0" shapeId="0">
      <text>
        <r>
          <rPr>
            <sz val="10"/>
            <rFont val="Arial"/>
            <family val="2"/>
          </rPr>
          <t>DVDD2</t>
        </r>
      </text>
    </comment>
    <comment ref="L136" authorId="0" shapeId="0">
      <text>
        <r>
          <rPr>
            <sz val="10"/>
            <rFont val="Arial"/>
            <family val="2"/>
          </rPr>
          <t>DVDD2</t>
        </r>
      </text>
    </comment>
    <comment ref="S136" authorId="0" shapeId="0">
      <text>
        <r>
          <rPr>
            <sz val="10"/>
            <rFont val="Arial"/>
            <family val="2"/>
          </rPr>
          <t>Step out</t>
        </r>
      </text>
    </comment>
    <comment ref="K145" authorId="0" shapeId="0">
      <text>
        <r>
          <rPr>
            <sz val="10"/>
            <rFont val="Arial"/>
            <family val="2"/>
          </rPr>
          <t>Logic Supply</t>
        </r>
      </text>
    </comment>
    <comment ref="L145" authorId="0" shapeId="0">
      <text>
        <r>
          <rPr>
            <sz val="10"/>
            <rFont val="Arial"/>
            <family val="2"/>
          </rPr>
          <t>Logic Supply</t>
        </r>
      </text>
    </comment>
    <comment ref="K146" authorId="0" shapeId="0">
      <text>
        <r>
          <rPr>
            <sz val="10"/>
            <rFont val="Arial"/>
            <family val="2"/>
          </rPr>
          <t>Logic Supply</t>
        </r>
      </text>
    </comment>
    <comment ref="L146" authorId="0" shapeId="0">
      <text>
        <r>
          <rPr>
            <sz val="10"/>
            <rFont val="Arial"/>
            <family val="2"/>
          </rPr>
          <t>Logic Supply</t>
        </r>
      </text>
    </comment>
    <comment ref="K147" authorId="0" shapeId="0">
      <text>
        <r>
          <rPr>
            <sz val="10"/>
            <rFont val="Arial"/>
            <family val="2"/>
          </rPr>
          <t>Logic Supply</t>
        </r>
      </text>
    </comment>
    <comment ref="L147" authorId="0" shapeId="0">
      <text>
        <r>
          <rPr>
            <sz val="10"/>
            <rFont val="Arial"/>
            <family val="2"/>
          </rPr>
          <t>Logic Supply</t>
        </r>
      </text>
    </comment>
    <comment ref="K158" authorId="0" shapeId="0">
      <text>
        <r>
          <rPr>
            <sz val="10"/>
            <rFont val="Arial"/>
            <family val="2"/>
          </rPr>
          <t>Logic Supply</t>
        </r>
      </text>
    </comment>
    <comment ref="L158" authorId="0" shapeId="0">
      <text>
        <r>
          <rPr>
            <sz val="10"/>
            <rFont val="Arial"/>
            <family val="2"/>
          </rPr>
          <t>Logic Supply</t>
        </r>
      </text>
    </comment>
    <comment ref="I166" authorId="0" shapeId="0">
      <text>
        <r>
          <rPr>
            <sz val="10"/>
            <rFont val="Arial"/>
            <family val="2"/>
          </rPr>
          <t>with signals applied</t>
        </r>
      </text>
    </comment>
    <comment ref="J166" authorId="0" shapeId="0">
      <text>
        <r>
          <rPr>
            <sz val="10"/>
            <rFont val="Arial"/>
            <family val="2"/>
          </rPr>
          <t>no signal</t>
        </r>
      </text>
    </comment>
    <comment ref="N166" authorId="0" shapeId="0">
      <text>
        <r>
          <rPr>
            <sz val="10"/>
            <rFont val="Arial"/>
            <family val="2"/>
          </rPr>
          <t>VDD=5V, CLOCK≥200Hz</t>
        </r>
      </text>
    </comment>
    <comment ref="O166" authorId="0" shapeId="0">
      <text>
        <r>
          <rPr>
            <sz val="10"/>
            <rFont val="Arial"/>
            <family val="2"/>
          </rPr>
          <t>10 µs, 1 puls</t>
        </r>
      </text>
    </comment>
    <comment ref="I167" authorId="0" shapeId="0">
      <text>
        <r>
          <rPr>
            <sz val="10"/>
            <rFont val="Arial"/>
            <family val="2"/>
          </rPr>
          <t>with signals applied</t>
        </r>
      </text>
    </comment>
    <comment ref="J167" authorId="0" shapeId="0">
      <text>
        <r>
          <rPr>
            <sz val="10"/>
            <rFont val="Arial"/>
            <family val="2"/>
          </rPr>
          <t>10 µs, 1 puls</t>
        </r>
      </text>
    </comment>
    <comment ref="N167" authorId="0" shapeId="0">
      <text>
        <r>
          <rPr>
            <sz val="10"/>
            <rFont val="Arial"/>
            <family val="2"/>
          </rPr>
          <t>VDD=5V, CLOCK≥200Hz</t>
        </r>
      </text>
    </comment>
    <comment ref="O167" authorId="0" shapeId="0">
      <text>
        <r>
          <rPr>
            <sz val="10"/>
            <rFont val="Arial"/>
            <family val="2"/>
          </rPr>
          <t>10 µs, 1 puls</t>
        </r>
      </text>
    </comment>
    <comment ref="I168" authorId="0" shapeId="0">
      <text>
        <r>
          <rPr>
            <sz val="10"/>
            <rFont val="Arial"/>
            <family val="2"/>
          </rPr>
          <t>with signals applied</t>
        </r>
      </text>
    </comment>
    <comment ref="J168" authorId="0" shapeId="0">
      <text>
        <r>
          <rPr>
            <sz val="10"/>
            <rFont val="Arial"/>
            <family val="2"/>
          </rPr>
          <t>10 µs, 1 puls</t>
        </r>
      </text>
    </comment>
    <comment ref="N168" authorId="0" shapeId="0">
      <text>
        <r>
          <rPr>
            <sz val="10"/>
            <rFont val="Arial"/>
            <family val="2"/>
          </rPr>
          <t>VDD=5V, CLOCK≥200Hz</t>
        </r>
      </text>
    </comment>
    <comment ref="O168" authorId="0" shapeId="0">
      <text>
        <r>
          <rPr>
            <sz val="10"/>
            <rFont val="Arial"/>
            <family val="2"/>
          </rPr>
          <t>10 µs, 1 puls</t>
        </r>
      </text>
    </comment>
    <comment ref="I169" authorId="0" shapeId="0">
      <text>
        <r>
          <rPr>
            <sz val="10"/>
            <rFont val="Arial"/>
            <family val="2"/>
          </rPr>
          <t>with signals applied</t>
        </r>
      </text>
    </comment>
    <comment ref="J169" authorId="0" shapeId="0">
      <text>
        <r>
          <rPr>
            <sz val="10"/>
            <rFont val="Arial"/>
            <family val="2"/>
          </rPr>
          <t>no signal</t>
        </r>
      </text>
    </comment>
    <comment ref="N169" authorId="0" shapeId="0">
      <text>
        <r>
          <rPr>
            <sz val="10"/>
            <rFont val="Arial"/>
            <family val="2"/>
          </rPr>
          <t>VDD=5V, CLOCK≥200Hz</t>
        </r>
      </text>
    </comment>
    <comment ref="O169" authorId="0" shapeId="0">
      <text>
        <r>
          <rPr>
            <sz val="10"/>
            <rFont val="Arial"/>
            <family val="2"/>
          </rPr>
          <t>10 µs, 1 puls</t>
        </r>
      </text>
    </comment>
    <comment ref="I170" authorId="0" shapeId="0">
      <text>
        <r>
          <rPr>
            <sz val="10"/>
            <rFont val="Arial"/>
            <family val="2"/>
          </rPr>
          <t>with signals applied</t>
        </r>
      </text>
    </comment>
    <comment ref="J170" authorId="0" shapeId="0">
      <text>
        <r>
          <rPr>
            <sz val="10"/>
            <rFont val="Arial"/>
            <family val="2"/>
          </rPr>
          <t>no signal</t>
        </r>
      </text>
    </comment>
    <comment ref="N170" authorId="0" shapeId="0">
      <text>
        <r>
          <rPr>
            <sz val="10"/>
            <rFont val="Arial"/>
            <family val="2"/>
          </rPr>
          <t>VDD=5V, CLOCK≥200Hz</t>
        </r>
      </text>
    </comment>
    <comment ref="O170" authorId="0" shapeId="0">
      <text>
        <r>
          <rPr>
            <sz val="10"/>
            <rFont val="Arial"/>
            <family val="2"/>
          </rPr>
          <t>10 µs, 1 puls</t>
        </r>
      </text>
    </comment>
    <comment ref="I171" authorId="0" shapeId="0">
      <text>
        <r>
          <rPr>
            <sz val="10"/>
            <rFont val="Arial"/>
            <family val="2"/>
          </rPr>
          <t>with signals applied©</t>
        </r>
      </text>
    </comment>
    <comment ref="J171" authorId="0" shapeId="0">
      <text>
        <r>
          <rPr>
            <sz val="10"/>
            <rFont val="Arial"/>
            <family val="2"/>
          </rPr>
          <t>no signal</t>
        </r>
      </text>
    </comment>
    <comment ref="N171" authorId="0" shapeId="0">
      <text>
        <r>
          <rPr>
            <sz val="10"/>
            <rFont val="Arial"/>
            <family val="2"/>
          </rPr>
          <t>VDD=5V, CLOCK≥200Hz</t>
        </r>
      </text>
    </comment>
    <comment ref="O171" authorId="0" shapeId="0">
      <text>
        <r>
          <rPr>
            <sz val="10"/>
            <rFont val="Arial"/>
            <family val="2"/>
          </rPr>
          <t>10 µs, 1 puls</t>
        </r>
      </text>
    </comment>
    <comment ref="I172" authorId="0" shapeId="0">
      <text>
        <r>
          <rPr>
            <sz val="10"/>
            <rFont val="Arial"/>
            <family val="2"/>
          </rPr>
          <t>with signals applied</t>
        </r>
      </text>
    </comment>
    <comment ref="J172" authorId="0" shapeId="0">
      <text>
        <r>
          <rPr>
            <sz val="10"/>
            <rFont val="Arial"/>
            <family val="2"/>
          </rPr>
          <t>no signal</t>
        </r>
      </text>
    </comment>
    <comment ref="N172" authorId="0" shapeId="0">
      <text>
        <r>
          <rPr>
            <sz val="10"/>
            <rFont val="Arial"/>
            <family val="2"/>
          </rPr>
          <t>VDD=5V, CLOCK≥200Hz</t>
        </r>
      </text>
    </comment>
    <comment ref="O172" authorId="0" shapeId="0">
      <text>
        <r>
          <rPr>
            <sz val="10"/>
            <rFont val="Arial"/>
            <family val="2"/>
          </rPr>
          <t>10 µs, 1 puls</t>
        </r>
      </text>
    </comment>
    <comment ref="I173" authorId="0" shapeId="0">
      <text>
        <r>
          <rPr>
            <sz val="10"/>
            <rFont val="Arial"/>
            <family val="2"/>
          </rPr>
          <t>with signals applied</t>
        </r>
      </text>
    </comment>
    <comment ref="J173" authorId="0" shapeId="0">
      <text>
        <r>
          <rPr>
            <sz val="10"/>
            <rFont val="Arial"/>
            <family val="2"/>
          </rPr>
          <t>10 µs, 1 puls</t>
        </r>
      </text>
    </comment>
    <comment ref="N173" authorId="0" shapeId="0">
      <text>
        <r>
          <rPr>
            <sz val="10"/>
            <rFont val="Arial"/>
            <family val="2"/>
          </rPr>
          <t>VDD=5V, CLOCK≥200Hz</t>
        </r>
      </text>
    </comment>
    <comment ref="O173" authorId="0" shapeId="0">
      <text>
        <r>
          <rPr>
            <sz val="10"/>
            <rFont val="Arial"/>
            <family val="2"/>
          </rPr>
          <t>10 µs, 1 puls</t>
        </r>
      </text>
    </comment>
    <comment ref="I174" authorId="0" shapeId="0">
      <text>
        <r>
          <rPr>
            <sz val="10"/>
            <rFont val="Arial"/>
            <family val="2"/>
          </rPr>
          <t>no signal</t>
        </r>
      </text>
    </comment>
    <comment ref="J174" authorId="0" shapeId="0">
      <text>
        <r>
          <rPr>
            <sz val="10"/>
            <rFont val="Arial"/>
            <family val="2"/>
          </rPr>
          <t>no signal</t>
        </r>
      </text>
    </comment>
    <comment ref="N174" authorId="0" shapeId="0">
      <text>
        <r>
          <rPr>
            <sz val="10"/>
            <rFont val="Arial"/>
            <family val="2"/>
          </rPr>
          <t>VDD=5V, CLOCK≥200Hz</t>
        </r>
      </text>
    </comment>
    <comment ref="O174" authorId="0" shapeId="0">
      <text>
        <r>
          <rPr>
            <sz val="10"/>
            <rFont val="Arial"/>
            <family val="2"/>
          </rPr>
          <t>10 µs, 1 puls</t>
        </r>
      </text>
    </comment>
    <comment ref="I175" authorId="0" shapeId="0">
      <text>
        <r>
          <rPr>
            <sz val="10"/>
            <rFont val="Arial"/>
            <family val="2"/>
          </rPr>
          <t>with signals applied</t>
        </r>
      </text>
    </comment>
    <comment ref="J175" authorId="0" shapeId="0">
      <text>
        <r>
          <rPr>
            <sz val="10"/>
            <rFont val="Arial"/>
            <family val="2"/>
          </rPr>
          <t>10 µs, 1 puls</t>
        </r>
      </text>
    </comment>
    <comment ref="N175" authorId="0" shapeId="0">
      <text>
        <r>
          <rPr>
            <sz val="10"/>
            <rFont val="Arial"/>
            <family val="2"/>
          </rPr>
          <t>VDD=5V, CLOCK≥200Hz</t>
        </r>
      </text>
    </comment>
    <comment ref="O175" authorId="0" shapeId="0">
      <text>
        <r>
          <rPr>
            <sz val="10"/>
            <rFont val="Arial"/>
            <family val="2"/>
          </rPr>
          <t>10 µs, 1 puls</t>
        </r>
      </text>
    </comment>
    <comment ref="I176" authorId="0" shapeId="0">
      <text>
        <r>
          <rPr>
            <sz val="10"/>
            <rFont val="Arial"/>
            <family val="2"/>
          </rPr>
          <t>with signals applied</t>
        </r>
      </text>
    </comment>
    <comment ref="J176" authorId="0" shapeId="0">
      <text>
        <r>
          <rPr>
            <sz val="10"/>
            <rFont val="Arial"/>
            <family val="2"/>
          </rPr>
          <t>no signal</t>
        </r>
      </text>
    </comment>
    <comment ref="N176" authorId="0" shapeId="0">
      <text>
        <r>
          <rPr>
            <sz val="10"/>
            <rFont val="Arial"/>
            <family val="2"/>
          </rPr>
          <t>VDD=5V, CLOCK≥200Hz</t>
        </r>
      </text>
    </comment>
    <comment ref="O176" authorId="0" shapeId="0">
      <text>
        <r>
          <rPr>
            <sz val="10"/>
            <rFont val="Arial"/>
            <family val="2"/>
          </rPr>
          <t>10 µs, 1 puls</t>
        </r>
      </text>
    </comment>
    <comment ref="I177" authorId="0" shapeId="0">
      <text>
        <r>
          <rPr>
            <sz val="10"/>
            <rFont val="Arial"/>
            <family val="2"/>
          </rPr>
          <t>with signal applied</t>
        </r>
      </text>
    </comment>
    <comment ref="J177" authorId="0" shapeId="0">
      <text>
        <r>
          <rPr>
            <sz val="10"/>
            <rFont val="Arial"/>
            <family val="2"/>
          </rPr>
          <t>no signal</t>
        </r>
      </text>
    </comment>
    <comment ref="N177" authorId="0" shapeId="0">
      <text>
        <r>
          <rPr>
            <sz val="10"/>
            <rFont val="Arial"/>
            <family val="2"/>
          </rPr>
          <t>VDD=5V, CLOCK≥200Hz</t>
        </r>
      </text>
    </comment>
    <comment ref="O177" authorId="0" shapeId="0">
      <text>
        <r>
          <rPr>
            <sz val="10"/>
            <rFont val="Arial"/>
            <family val="2"/>
          </rPr>
          <t>10 µs, 1 puls</t>
        </r>
      </text>
    </comment>
    <comment ref="I178" authorId="0" shapeId="0">
      <text>
        <r>
          <rPr>
            <sz val="10"/>
            <rFont val="Arial"/>
            <family val="2"/>
          </rPr>
          <t>with signals applied</t>
        </r>
      </text>
    </comment>
    <comment ref="J178" authorId="0" shapeId="0">
      <text>
        <r>
          <rPr>
            <sz val="10"/>
            <rFont val="Arial"/>
            <family val="2"/>
          </rPr>
          <t>no signal</t>
        </r>
      </text>
    </comment>
    <comment ref="N178" authorId="0" shapeId="0">
      <text>
        <r>
          <rPr>
            <sz val="10"/>
            <rFont val="Arial"/>
            <family val="2"/>
          </rPr>
          <t>VDD=5V, CLOCK≥200Hz</t>
        </r>
      </text>
    </comment>
    <comment ref="O178" authorId="0" shapeId="0">
      <text>
        <r>
          <rPr>
            <sz val="10"/>
            <rFont val="Arial"/>
            <family val="2"/>
          </rPr>
          <t>10 µs, 1 puls</t>
        </r>
      </text>
    </comment>
    <comment ref="I179" authorId="0" shapeId="0">
      <text>
        <r>
          <rPr>
            <sz val="10"/>
            <rFont val="Arial"/>
            <family val="2"/>
          </rPr>
          <t>with signals applied</t>
        </r>
      </text>
    </comment>
    <comment ref="J179" authorId="0" shapeId="0">
      <text>
        <r>
          <rPr>
            <sz val="10"/>
            <rFont val="Arial"/>
            <family val="2"/>
          </rPr>
          <t>10 µs, 1 puls</t>
        </r>
      </text>
    </comment>
    <comment ref="N179" authorId="0" shapeId="0">
      <text>
        <r>
          <rPr>
            <sz val="10"/>
            <rFont val="Arial"/>
            <family val="2"/>
          </rPr>
          <t>VDD=5V, CLOCK≥200Hz</t>
        </r>
      </text>
    </comment>
    <comment ref="O179" authorId="0" shapeId="0">
      <text>
        <r>
          <rPr>
            <sz val="10"/>
            <rFont val="Arial"/>
            <family val="2"/>
          </rPr>
          <t>10 µs, 1 puls</t>
        </r>
      </text>
    </comment>
    <comment ref="I180" authorId="0" shapeId="0">
      <text>
        <r>
          <rPr>
            <sz val="10"/>
            <rFont val="Arial"/>
            <family val="2"/>
          </rPr>
          <t>with signals applied</t>
        </r>
      </text>
    </comment>
    <comment ref="J180" authorId="0" shapeId="0">
      <text>
        <r>
          <rPr>
            <sz val="10"/>
            <rFont val="Arial"/>
            <family val="2"/>
          </rPr>
          <t>no signal</t>
        </r>
      </text>
    </comment>
    <comment ref="N180" authorId="0" shapeId="0">
      <text>
        <r>
          <rPr>
            <sz val="10"/>
            <rFont val="Arial"/>
            <family val="2"/>
          </rPr>
          <t>VDD=5V, CLOCK≥200Hz</t>
        </r>
      </text>
    </comment>
    <comment ref="O180" authorId="0" shapeId="0">
      <text>
        <r>
          <rPr>
            <sz val="10"/>
            <rFont val="Arial"/>
            <family val="2"/>
          </rPr>
          <t>10 µs, 1 puls</t>
        </r>
      </text>
    </comment>
    <comment ref="L186" authorId="0" shapeId="0">
      <text>
        <r>
          <rPr>
            <sz val="10"/>
            <rFont val="Arial"/>
            <family val="2"/>
          </rPr>
          <t>VDD</t>
        </r>
      </text>
    </comment>
    <comment ref="U187" authorId="0" shapeId="0">
      <text>
        <r>
          <rPr>
            <sz val="10"/>
            <rFont val="Arial"/>
            <family val="2"/>
          </rPr>
          <t>Vout max</t>
        </r>
      </text>
    </comment>
    <comment ref="W187" authorId="0" shapeId="0">
      <text>
        <r>
          <rPr>
            <sz val="10"/>
            <rFont val="Arial"/>
            <family val="2"/>
          </rPr>
          <t>It includes built-in resistor</t>
        </r>
      </text>
    </comment>
    <comment ref="U198" authorId="0" shapeId="0">
      <text>
        <r>
          <rPr>
            <sz val="10"/>
            <rFont val="Arial"/>
            <family val="2"/>
          </rPr>
          <t>Internally Clamped</t>
        </r>
      </text>
    </comment>
    <comment ref="W198" authorId="0" shapeId="0">
      <text>
        <r>
          <rPr>
            <sz val="10"/>
            <rFont val="Arial"/>
            <family val="2"/>
          </rPr>
          <t>OUT4,8</t>
        </r>
      </text>
    </comment>
    <comment ref="H199" authorId="0" shapeId="0">
      <text>
        <r>
          <rPr>
            <sz val="10"/>
            <rFont val="Arial"/>
            <family val="2"/>
          </rPr>
          <t>1.1Ω</t>
        </r>
      </text>
    </comment>
    <comment ref="L199" authorId="0" shapeId="0">
      <text>
        <r>
          <rPr>
            <sz val="10"/>
            <rFont val="Arial"/>
            <family val="2"/>
          </rPr>
          <t>VDD &amp; VDDA</t>
        </r>
      </text>
    </comment>
    <comment ref="U199" authorId="0" shapeId="0">
      <text>
        <r>
          <rPr>
            <sz val="10"/>
            <rFont val="Arial"/>
            <family val="2"/>
          </rPr>
          <t>OUTx</t>
        </r>
      </text>
    </comment>
    <comment ref="W199" authorId="0" shapeId="0">
      <text>
        <r>
          <rPr>
            <sz val="10"/>
            <rFont val="Arial"/>
            <family val="2"/>
          </rPr>
          <t>180 mA</t>
        </r>
      </text>
    </comment>
    <comment ref="W202" authorId="0" shapeId="0">
      <text>
        <r>
          <rPr>
            <sz val="10"/>
            <rFont val="Arial"/>
            <family val="2"/>
          </rPr>
          <t>VGS=5V, ID=0.5A</t>
        </r>
      </text>
    </comment>
    <comment ref="W203" authorId="0" shapeId="0">
      <text>
        <r>
          <rPr>
            <sz val="10"/>
            <rFont val="Arial"/>
            <family val="2"/>
          </rPr>
          <t>VGS=5V, ID=0.5A</t>
        </r>
      </text>
    </comment>
    <comment ref="W204" authorId="0" shapeId="0">
      <text>
        <r>
          <rPr>
            <sz val="10"/>
            <rFont val="Arial"/>
            <family val="2"/>
          </rPr>
          <t>VGS=5V, ID=0.5A</t>
        </r>
      </text>
    </comment>
    <comment ref="W205" authorId="0" shapeId="0">
      <text>
        <r>
          <rPr>
            <sz val="10"/>
            <rFont val="Arial"/>
            <family val="2"/>
          </rPr>
          <t>V&lt;sub&gt;GS&lt;/sub&gt; = 5 V; I&lt;sub&gt;D&lt;/sub&gt; = 0.15 A</t>
        </r>
      </text>
    </comment>
    <comment ref="W206" authorId="0" shapeId="0">
      <text>
        <r>
          <rPr>
            <sz val="10"/>
            <rFont val="Arial"/>
            <family val="2"/>
          </rPr>
          <t>V&lt;sub&gt;GS&lt;/sub&gt; = 5 V; I&lt;sub&gt;D&lt;/sub&gt; = 0.15 A</t>
        </r>
      </text>
    </comment>
    <comment ref="V208" authorId="0" shapeId="0">
      <text>
        <r>
          <rPr>
            <sz val="10"/>
            <rFont val="Arial"/>
            <family val="2"/>
          </rPr>
          <t>Vo = 50V</t>
        </r>
      </text>
    </comment>
  </commentList>
</comments>
</file>

<file path=xl/sharedStrings.xml><?xml version="1.0" encoding="utf-8"?>
<sst xmlns="http://schemas.openxmlformats.org/spreadsheetml/2006/main" count="2836" uniqueCount="428">
  <si>
    <t>Product</t>
  </si>
  <si>
    <t>Datasheet</t>
  </si>
  <si>
    <t>Description</t>
  </si>
  <si>
    <t>Compliance</t>
  </si>
  <si>
    <t>Status</t>
  </si>
  <si>
    <t>VM Min (V)</t>
  </si>
  <si>
    <t>VM Max (V)</t>
  </si>
  <si>
    <t>VCC Min (V)</t>
  </si>
  <si>
    <t>VCC Max (V)</t>
  </si>
  <si>
    <t>IO Min (A)</t>
  </si>
  <si>
    <t>IO Peak Max (A)</t>
  </si>
  <si>
    <t>Control Type</t>
  </si>
  <si>
    <t>Current Sense</t>
  </si>
  <si>
    <t>Package Type</t>
  </si>
  <si>
    <t>12 Channel Half-Bridge Driver</t>
  </si>
  <si>
    <t>AEC Qualified
PPAP Capable
Pb-free
Halide free</t>
  </si>
  <si>
    <t>ActiveNEW</t>
  </si>
  <si>
    <t>5.5</t>
  </si>
  <si>
    <t>40</t>
  </si>
  <si>
    <t>3.15</t>
  </si>
  <si>
    <t>1.1</t>
  </si>
  <si>
    <t>2</t>
  </si>
  <si>
    <t>SPI</t>
  </si>
  <si>
    <t>None</t>
  </si>
  <si>
    <t>SSOP-24 NB EP</t>
  </si>
  <si>
    <t>Low-Voltage, Low-Saturation Bidirectional Motor Driver</t>
  </si>
  <si>
    <t>0.8</t>
  </si>
  <si>
    <t>Pb-free
Halide free</t>
  </si>
  <si>
    <t>Active</t>
  </si>
  <si>
    <t>2.2</t>
  </si>
  <si>
    <t>9</t>
  </si>
  <si>
    <t>2.5</t>
  </si>
  <si>
    <t/>
  </si>
  <si>
    <t>1</t>
  </si>
  <si>
    <t>Parallel</t>
  </si>
  <si>
    <t>SOIC-10 NB</t>
  </si>
  <si>
    <t>Low-Voltage, Low-Saturation, Bidirectional Motor Driver</t>
  </si>
  <si>
    <t>3</t>
  </si>
  <si>
    <t>0.5</t>
  </si>
  <si>
    <t>Bidirectional Motor Driver, Low Saturation, current-controlled</t>
  </si>
  <si>
    <t>Pb-free</t>
  </si>
  <si>
    <t>External Resistor</t>
  </si>
  <si>
    <t>SSOP-20</t>
  </si>
  <si>
    <t>Motor Driver, Bidirectional, Low Voltage, Low Saturation</t>
  </si>
  <si>
    <t>10.8</t>
  </si>
  <si>
    <t>Motor Driver, Forward / Reverse, Low Voltage, Low Saturation</t>
  </si>
  <si>
    <t>10</t>
  </si>
  <si>
    <t>Micro8™</t>
  </si>
  <si>
    <t>Forward/Reverse 1-Channel H-Bridge Motor Driver</t>
  </si>
  <si>
    <t>10.5</t>
  </si>
  <si>
    <t>2.7</t>
  </si>
  <si>
    <t>3.8</t>
  </si>
  <si>
    <t>WLCSP-9 / WLP-9</t>
  </si>
  <si>
    <t>Motor Driver, H-Bridge, Forward / Reverse</t>
  </si>
  <si>
    <t>35</t>
  </si>
  <si>
    <t>4</t>
  </si>
  <si>
    <t>TSSOP-20 / TSSOP-20J</t>
  </si>
  <si>
    <t>6</t>
  </si>
  <si>
    <t>SSOP-36J EP</t>
  </si>
  <si>
    <t>SPI controlled H-bridge and Dual-Half Bridge pre-driver</t>
  </si>
  <si>
    <t>TSSOP-20 WB</t>
  </si>
  <si>
    <t>Triple Half-Bridge Driver for automotive side-view mirror control.</t>
  </si>
  <si>
    <t>1.2</t>
  </si>
  <si>
    <t>5.25</t>
  </si>
  <si>
    <t>5</t>
  </si>
  <si>
    <t>SOIC-14</t>
  </si>
  <si>
    <t>Hex Half-Bridge Driver</t>
  </si>
  <si>
    <t>SSOP-24</t>
  </si>
  <si>
    <t>Octal Half-Bridge Driver</t>
  </si>
  <si>
    <t>Deca Half-Bridge Driver</t>
  </si>
  <si>
    <t>Motor Driver, Double Half-Bridge with Direct Control</t>
  </si>
  <si>
    <t>Fully Integrated</t>
  </si>
  <si>
    <t>Motor Driver, DC, Forward / Reverse, with Brush</t>
  </si>
  <si>
    <t>52</t>
  </si>
  <si>
    <t>4.75</t>
  </si>
  <si>
    <t>8.5</t>
  </si>
  <si>
    <t>12</t>
  </si>
  <si>
    <t>PWM</t>
  </si>
  <si>
    <t>SIP-19</t>
  </si>
  <si>
    <t xml:space="preserve">Motor Driver, DC, Forward / Reverse, with Brush </t>
  </si>
  <si>
    <t>5.8</t>
  </si>
  <si>
    <t>8</t>
  </si>
  <si>
    <t>有刷电机驱动</t>
    <phoneticPr fontId="2" type="noConversion"/>
  </si>
  <si>
    <t>Type</t>
    <phoneticPr fontId="2" type="noConversion"/>
  </si>
  <si>
    <t>Phase</t>
  </si>
  <si>
    <t>IO Max (A)</t>
  </si>
  <si>
    <t>无刷电机驱动</t>
    <phoneticPr fontId="2" type="noConversion"/>
  </si>
  <si>
    <t>Closed-AF Control LSI</t>
  </si>
  <si>
    <t>2.6</t>
  </si>
  <si>
    <t>3.3</t>
  </si>
  <si>
    <t>0.15</t>
  </si>
  <si>
    <t>Serial</t>
  </si>
  <si>
    <t>WLCSP6, 0.86x1.75x0.265</t>
  </si>
  <si>
    <t>12V, 24V and 48V Single-phase BLDC Motor Pre-driver with Speed Control</t>
  </si>
  <si>
    <t>3.9</t>
  </si>
  <si>
    <t>20</t>
  </si>
  <si>
    <t>0.05</t>
  </si>
  <si>
    <t>TSSOP-16</t>
  </si>
  <si>
    <t xml:space="preserve">Single-Phase Full-Wave BTL Fan Motor Driver
</t>
  </si>
  <si>
    <t>16</t>
  </si>
  <si>
    <t>0.36</t>
  </si>
  <si>
    <t>DC</t>
  </si>
  <si>
    <t>Single-Phase Full-Wave BTL Fan Motor Driver</t>
  </si>
  <si>
    <t>2.8</t>
  </si>
  <si>
    <t>14</t>
  </si>
  <si>
    <t>SOIC-10 W / MFP-10SK</t>
  </si>
  <si>
    <t>BTL Driver Single-Phase Full-Wave Fan Motor Driver</t>
  </si>
  <si>
    <t>1.6</t>
  </si>
  <si>
    <t>SOIC-16-TL / MFP-16FS</t>
  </si>
  <si>
    <t>Single-phase Full-wave BTL Fan Motor Driver</t>
  </si>
  <si>
    <t>0.7</t>
  </si>
  <si>
    <t>0.6</t>
  </si>
  <si>
    <t>Micro10</t>
  </si>
  <si>
    <t>Single-Phase Full-Wave BTL Fan Motor Driver for 24V Power Supply</t>
  </si>
  <si>
    <t>26.4</t>
  </si>
  <si>
    <t>Single-Phase Full-Wave Fan Motor Driver</t>
  </si>
  <si>
    <t>Three-Phase Direct PWM Brushless Motor Driver</t>
  </si>
  <si>
    <t>18</t>
  </si>
  <si>
    <t>0.03</t>
  </si>
  <si>
    <t>VCT-24</t>
  </si>
  <si>
    <t>17</t>
  </si>
  <si>
    <t>0.025</t>
  </si>
  <si>
    <t>TSSOP-24</t>
  </si>
  <si>
    <t>Half-pre Motor Driver, Single-Phase Full-Wave, for Fan Motor</t>
  </si>
  <si>
    <t>15</t>
  </si>
  <si>
    <t>1.5</t>
  </si>
  <si>
    <t>SSOP-16</t>
  </si>
  <si>
    <t>Half-pre Motor Driver, Single-Phase Full-Wave Drive, for Fan Motor</t>
  </si>
  <si>
    <t>Motor Driver, 3-Phase, Sensor Less</t>
  </si>
  <si>
    <t>4.5</t>
  </si>
  <si>
    <t>SSOP-24J</t>
  </si>
  <si>
    <t>Direct PWM Drive Brushless Motor Predriver</t>
  </si>
  <si>
    <t>DC
PWM</t>
  </si>
  <si>
    <t>SSOP-30</t>
  </si>
  <si>
    <t>Single-Phase Full-Wave Fan Motor Pre-Driver with Speed Control Function</t>
  </si>
  <si>
    <t>0.02</t>
  </si>
  <si>
    <t>Microprocessor Fan Motor Interface Driver</t>
  </si>
  <si>
    <t>SSOP-20J</t>
  </si>
  <si>
    <t>Variable Speed Single-Phase Full-Wave Pre-Driver</t>
  </si>
  <si>
    <t>Variable Speed Single-Phase Fan Motor</t>
  </si>
  <si>
    <t>Fan Motor Pre-Driver, Single-Phase, Full-Wave, Variable Speed</t>
  </si>
  <si>
    <t>Motor Driver, 3-Phase, Brushless</t>
  </si>
  <si>
    <t>9.5</t>
  </si>
  <si>
    <t>28</t>
  </si>
  <si>
    <t>2.3</t>
  </si>
  <si>
    <t>HSSOP-48</t>
  </si>
  <si>
    <t>Three-Phase Brushless Motor Driver</t>
  </si>
  <si>
    <t>Clock</t>
  </si>
  <si>
    <t>SSOP-36</t>
  </si>
  <si>
    <t>3-Phase Brushless Motor Driver</t>
  </si>
  <si>
    <t>4.4</t>
  </si>
  <si>
    <t>0.01</t>
  </si>
  <si>
    <t>TSSOP-36</t>
  </si>
  <si>
    <t>SSOP-44</t>
  </si>
  <si>
    <t>HSSOP-14</t>
  </si>
  <si>
    <t>3.5</t>
  </si>
  <si>
    <t>13.8</t>
  </si>
  <si>
    <t>Single-Phase Variable Speed Fan Motor Pre-Driver</t>
  </si>
  <si>
    <t>SSOP-18</t>
  </si>
  <si>
    <t>Current Linear Drive 3-Phase BL-Motor Driver</t>
  </si>
  <si>
    <t>22</t>
  </si>
  <si>
    <t>7</t>
  </si>
  <si>
    <t>1.3</t>
  </si>
  <si>
    <t>Motor Driver,Brushless,Two-Phase</t>
  </si>
  <si>
    <t>SOIC-14W / MFP-14S</t>
  </si>
  <si>
    <t>16.8</t>
  </si>
  <si>
    <t>Two-Phase Brushless Motor Driver</t>
  </si>
  <si>
    <t>Two-Phase Brushless Fan Motor Driver</t>
  </si>
  <si>
    <t>60</t>
  </si>
  <si>
    <t>6.4</t>
  </si>
  <si>
    <t>DC Fan Motor Speed Controller</t>
  </si>
  <si>
    <t>1/2/3</t>
  </si>
  <si>
    <t>7.5</t>
  </si>
  <si>
    <t>6.5</t>
  </si>
  <si>
    <t>0.0025</t>
  </si>
  <si>
    <t>0.003</t>
  </si>
  <si>
    <t>Optical Image Stabilization (OIS) / Auto Focus (AF) Controller &amp; Driver with 40 KB Flash Memory</t>
  </si>
  <si>
    <t>1.75/2.6</t>
  </si>
  <si>
    <t>0.210/0.1575</t>
  </si>
  <si>
    <t>0.2/0.15</t>
  </si>
  <si>
    <t>WLCSP-35</t>
  </si>
  <si>
    <t>Optical Image Stabilization (OIS) / Open-Auto Focus (AF) Controller &amp; Driver integrating an on-chip 32-bit DSP</t>
  </si>
  <si>
    <t>0.16/0.13</t>
  </si>
  <si>
    <t>WLCSP-27</t>
  </si>
  <si>
    <t>1.8</t>
  </si>
  <si>
    <t>2.6/1.7</t>
  </si>
  <si>
    <t>0.21/0.1365</t>
  </si>
  <si>
    <t>OIS &amp; Open-AF Control LSI</t>
  </si>
  <si>
    <t>2.7/1.7</t>
  </si>
  <si>
    <t>WLCSP-30</t>
  </si>
  <si>
    <t>Auto-Focus Control LSI</t>
  </si>
  <si>
    <t>0.115</t>
  </si>
  <si>
    <t>WLCSP-6</t>
  </si>
  <si>
    <t>Liner Vibrator Driver</t>
  </si>
  <si>
    <t>0.2</t>
  </si>
  <si>
    <t>I2C</t>
  </si>
  <si>
    <t>WLCSP-8</t>
  </si>
  <si>
    <t>Linear Vibrator Driver</t>
  </si>
  <si>
    <t>Single-phase FAN Motor Driver</t>
  </si>
  <si>
    <t>3.6</t>
  </si>
  <si>
    <t>Motor Predriver, Brushless, 3-Phase</t>
  </si>
  <si>
    <t>0.015</t>
  </si>
  <si>
    <t>Three-Phase Brushless Motor Predriver for Variable Speed Control</t>
  </si>
  <si>
    <t>SPQFP-48 / SQFP-48</t>
  </si>
  <si>
    <t>3-phase Brushless Motor Driver for a Polygon Mirror Motor</t>
  </si>
  <si>
    <t>37</t>
  </si>
  <si>
    <t>SSOP-44K EP</t>
  </si>
  <si>
    <t>3-phase Brushless Motor Driver for Polygon Mirror Motor</t>
  </si>
  <si>
    <t>Sine wave PWM Drive, Pre drive IC, for Brushless Motor Drive</t>
  </si>
  <si>
    <t>16.5</t>
  </si>
  <si>
    <t>Single-Phase Fan Motor Driver</t>
  </si>
  <si>
    <t>UDFN-10</t>
  </si>
  <si>
    <t>Motor Driver, Single-Phase, PWM, Full-Wave, BLDC</t>
  </si>
  <si>
    <t>TSSOP-14 EP</t>
  </si>
  <si>
    <t>Motor Driver, Sensor Less, Brushless, 3-Phase</t>
  </si>
  <si>
    <t>3-phase Sensor-less Motor Driver</t>
  </si>
  <si>
    <t>UQFN-16</t>
  </si>
  <si>
    <t>Motor Driver, 3-Phase, PWM, Full-Wave, BLDC</t>
  </si>
  <si>
    <t>PWM Pre-Drive Three-Phase Brushless Motor Driver</t>
  </si>
  <si>
    <t>33</t>
  </si>
  <si>
    <t>WQFN-32 / VQFN-32U</t>
  </si>
  <si>
    <t>Three-Phase PWM Brushless Motor Driver</t>
  </si>
  <si>
    <t>WQFN-24 / VQFN-24N</t>
  </si>
  <si>
    <t>SSOP-20J
VCT-20</t>
  </si>
  <si>
    <t>Motor Driver, Single-Phase, PWM, Full-Wave, BLDC for 24V/48V fan</t>
  </si>
  <si>
    <t>Motor Driver, Single-Phase, PWM, Full-Wave, Brushless</t>
  </si>
  <si>
    <t>34</t>
  </si>
  <si>
    <t>Sensor-less Three-phase Brushless DC Motor Controller, with Gate Drivers, for Automotive</t>
  </si>
  <si>
    <t>0.4</t>
  </si>
  <si>
    <t>SQFP-48K</t>
  </si>
  <si>
    <t>Multi-purpose BLDC Pre-driver, For Automotive</t>
  </si>
  <si>
    <t>Brushless DC Motor Controller, 3-Phase</t>
  </si>
  <si>
    <t>30</t>
  </si>
  <si>
    <t>0.1</t>
  </si>
  <si>
    <t>SOIC-20W</t>
  </si>
  <si>
    <t>Brushless DC Motor Controller</t>
  </si>
  <si>
    <t>Motor Driver, Closed Loop, Brushless</t>
  </si>
  <si>
    <t>SOIC-8</t>
  </si>
  <si>
    <t>SOIC?24 WB</t>
  </si>
  <si>
    <t>Step Resolution</t>
  </si>
  <si>
    <t>Fault Detection</t>
  </si>
  <si>
    <t>步进电机驱动</t>
    <phoneticPr fontId="2" type="noConversion"/>
  </si>
  <si>
    <t>Stepper motor driver/controller for external FETs</t>
  </si>
  <si>
    <t>1/128</t>
  </si>
  <si>
    <t>Thermal</t>
  </si>
  <si>
    <t>QFN-48</t>
  </si>
  <si>
    <t>Microstepping motor driver</t>
  </si>
  <si>
    <t>1/32</t>
  </si>
  <si>
    <t>Over-Current</t>
  </si>
  <si>
    <t>SOIC-24</t>
  </si>
  <si>
    <t>Stepper Motor Driver with Comprehensive Diagnostic Feedback and SLA Output</t>
  </si>
  <si>
    <t>NQFP-32</t>
  </si>
  <si>
    <t>3.2</t>
  </si>
  <si>
    <t>QFN-32</t>
  </si>
  <si>
    <t>Microstepping  Motor Driver and Controller with LIN Bus</t>
  </si>
  <si>
    <t>1/16</t>
  </si>
  <si>
    <t>LIN</t>
  </si>
  <si>
    <t>Open Coil
Over-Current
UVLO</t>
  </si>
  <si>
    <t>NQFP-32
SOIC-8 NB</t>
  </si>
  <si>
    <t>Stepper motor driver and controller with I&lt;sup&gt;2&lt;/sup&gt;C Bus, microstepping features and stall detection</t>
  </si>
  <si>
    <t>UVLO</t>
  </si>
  <si>
    <t>Microstepping motor driver and controller with I2C bus and stall detection</t>
  </si>
  <si>
    <t>Over-Current
Thermal
UVLO</t>
  </si>
  <si>
    <t>NQFP-32
SOIC-20W</t>
  </si>
  <si>
    <t>Motor Driver, Low Saturation, Bidirectional, for Low Voltage Drive</t>
  </si>
  <si>
    <t>½</t>
  </si>
  <si>
    <t>1
1/2</t>
  </si>
  <si>
    <t>Low-Voltage/Low Saturation Voltage Bidirectional Motor Driver</t>
  </si>
  <si>
    <t xml:space="preserve">Stepping Motor Driver, Low Saturation Voltage, 12 V </t>
  </si>
  <si>
    <t>Forward/Reverse Drive Stepping Motor Driver</t>
  </si>
  <si>
    <t>Low Voltage, Low Saturation, Bidirectional Motor Driver</t>
  </si>
  <si>
    <t>Motor Driver, Constant Voltage/Current, H-Bridge, 2-Channel</t>
  </si>
  <si>
    <t>1.9</t>
  </si>
  <si>
    <t>TSSOP-20</t>
  </si>
  <si>
    <t>2-Channel H-Bridge Constant Current Driver</t>
  </si>
  <si>
    <t>Motor Driver, Forward / Reverse, Low Saturation Voltage, 12 V</t>
  </si>
  <si>
    <t>Stepping Motor Driver, 2-Channel, H-Bridge</t>
  </si>
  <si>
    <t>Optical Image Stabilization (OIS) Controller &amp; Driver</t>
  </si>
  <si>
    <t>0.3</t>
  </si>
  <si>
    <t>WLCSP-40</t>
  </si>
  <si>
    <t>Optical Image Stabilization (OIS) / Auto Focus (AF) Controller &amp; Driver</t>
  </si>
  <si>
    <t>0.22</t>
  </si>
  <si>
    <t>0.220/0.150</t>
  </si>
  <si>
    <t>0.300/0.200</t>
  </si>
  <si>
    <t>Drive Controller, Iris/Zoom/Focus, and Day-Night Switch</t>
  </si>
  <si>
    <t>0.2/0.3</t>
  </si>
  <si>
    <t>0.3/0.45</t>
  </si>
  <si>
    <t>1/1024</t>
  </si>
  <si>
    <t>TQFP-64</t>
  </si>
  <si>
    <t>Auto Focus (AF) Controller</t>
  </si>
  <si>
    <t>0.13</t>
  </si>
  <si>
    <t>0.195</t>
  </si>
  <si>
    <t>WLCSP-12</t>
  </si>
  <si>
    <t>0.12</t>
  </si>
  <si>
    <t>0.18</t>
  </si>
  <si>
    <t>Auto Focus (AF) Controller with 128 Byte EEPROM</t>
  </si>
  <si>
    <t>WLCSP-10</t>
  </si>
  <si>
    <t>Auto Focus (AF) Controller &amp; Driver with 128 Byte EEPROM</t>
  </si>
  <si>
    <t>0.147</t>
  </si>
  <si>
    <t>High Efficient Stepper Motor Controller</t>
  </si>
  <si>
    <t>1
1/16
1/2
1/4
1/8</t>
  </si>
  <si>
    <t>Clock
Serial</t>
  </si>
  <si>
    <t>Lock</t>
  </si>
  <si>
    <t>Motor Driver, Forward / Reverse, 2-Channel</t>
  </si>
  <si>
    <t>1.4</t>
  </si>
  <si>
    <t>2-Channel Forward/Reverse Motor Driver</t>
  </si>
  <si>
    <t>4-Channel Stepper Motor Driver</t>
  </si>
  <si>
    <t>Motor Driver, H-Bridge x 2-Channel, for DSC and Phone Camera</t>
  </si>
  <si>
    <t>VCT-16</t>
  </si>
  <si>
    <t>Quad H-Bridge Micro Step Motor Driver with I&lt;sup&gt;2&lt;/sup&gt;C Interface</t>
  </si>
  <si>
    <t>WLCSP-32 / WLP-32J</t>
  </si>
  <si>
    <t>Motor Driver, Forward / Reverse, Low-Saturation Voltage, 12 V</t>
  </si>
  <si>
    <t>Stepping Motor Driver, Low Saturation Voltage, 12 V</t>
  </si>
  <si>
    <t>PWM Current Control High-Efficiency Stepper Motor Driver</t>
  </si>
  <si>
    <t>32</t>
  </si>
  <si>
    <t>1
1/2
1/4</t>
  </si>
  <si>
    <t>SSOP-44J EP</t>
  </si>
  <si>
    <t>Stepper Motor Driver, PWM, Constant Current Control</t>
  </si>
  <si>
    <t>Stepping Motor Driver, Constant-Current Control, PWM</t>
  </si>
  <si>
    <t>¼</t>
  </si>
  <si>
    <t>Thermal
UVLO</t>
  </si>
  <si>
    <t>Stepping Motor Driver, PWM, Constant Current Control</t>
  </si>
  <si>
    <t>Dual Stepper Motor Driver, Ultra-small Micro Steps</t>
  </si>
  <si>
    <t>1.75</t>
  </si>
  <si>
    <t>QFP-48 / TQFP-48</t>
  </si>
  <si>
    <t>Dual H-bridge Motor Driver</t>
  </si>
  <si>
    <t>1/2</t>
  </si>
  <si>
    <t>QFN-16</t>
  </si>
  <si>
    <t>Stepper Motor Driver, PWM, Constant-Current Control, 1/128 step</t>
  </si>
  <si>
    <t>1
1/128
1/16
1/2
1/32
1/4
1/64
1/8</t>
  </si>
  <si>
    <t>SOIC-30 W / MFP-30KR</t>
  </si>
  <si>
    <t>Stepper Motor Driver, PWM, Constant Current Control, 9 - 32 V</t>
  </si>
  <si>
    <t>Clock
Parallel</t>
  </si>
  <si>
    <t>PWM Current Control Stepper Motor Driver</t>
  </si>
  <si>
    <t>PWM Constant-Current Control Stepper Motor Driver</t>
  </si>
  <si>
    <t>PWM Constant-Current Control Stepping Motor Driver and Switching Regulator Controller</t>
  </si>
  <si>
    <t>TQFP-64 / TQFP-64L</t>
  </si>
  <si>
    <t>Micro-stepping Motor Driver</t>
  </si>
  <si>
    <t>29</t>
  </si>
  <si>
    <t>0.8
1.1</t>
  </si>
  <si>
    <t>Open Coil</t>
  </si>
  <si>
    <t>QFNW-24</t>
  </si>
  <si>
    <t>QFNW-32</t>
  </si>
  <si>
    <t>LIN Microstepping Motor Driver 800mA</t>
  </si>
  <si>
    <t>Open Coil
Over-Current
Thermal
UVLO</t>
  </si>
  <si>
    <t>QFN-32
SSOP-36 EP</t>
  </si>
  <si>
    <t>LIN Micro-Stepping Motor Driver 800mA</t>
  </si>
  <si>
    <t>Unipolar 2-phase Stepper Motor Driver</t>
  </si>
  <si>
    <t>Unipolar 2-Phase Micro Stepper Motor Driver</t>
  </si>
  <si>
    <t>Stepper Motor Driver, Unipolar 2-Phase Micro</t>
  </si>
  <si>
    <t>Uni-polar 2-phase Stepper Motor Driver</t>
  </si>
  <si>
    <t>50</t>
  </si>
  <si>
    <t>Unipolar 2-Phase Stepper Motor Driver</t>
  </si>
  <si>
    <t>2.65</t>
  </si>
  <si>
    <t>46</t>
  </si>
  <si>
    <t>Stepper Motor Driver Intelligent Power Module (IPM), Unipolar 2-Phase</t>
  </si>
  <si>
    <t>Number of Drivers</t>
  </si>
  <si>
    <t>V(BR)GSS Max (V)</t>
  </si>
  <si>
    <t>V(BR)DSS Max (V)</t>
  </si>
  <si>
    <t>ID Max (A)</t>
  </si>
  <si>
    <t>rDS(on) Max (Ω)</t>
  </si>
  <si>
    <t>Tj Max (°C)</t>
  </si>
  <si>
    <t>负载驱动和继电器驱动</t>
    <phoneticPr fontId="2" type="noConversion"/>
  </si>
  <si>
    <t>Alternator Voltage Regulator Darlington Driver</t>
  </si>
  <si>
    <t>27</t>
  </si>
  <si>
    <t>150</t>
  </si>
  <si>
    <t>Motor Driver, Precision Air-Core, Tachometer / Speedometer, with Return to Zero</t>
  </si>
  <si>
    <t>24</t>
  </si>
  <si>
    <t>-</t>
  </si>
  <si>
    <t>0.125</t>
  </si>
  <si>
    <t>Half-Bridge Gate Driver, 625 V, 0.6 A</t>
  </si>
  <si>
    <t>25</t>
  </si>
  <si>
    <t>625</t>
  </si>
  <si>
    <t>Sinusoidal Piezoelectric Actuator Driver with Step-Up DC-DC Converter</t>
  </si>
  <si>
    <t>75</t>
  </si>
  <si>
    <t>WQFN-24</t>
  </si>
  <si>
    <t>Dual Half-Bridge Piezoelectric Driver with Step-up DC-DC Converter</t>
  </si>
  <si>
    <t>4-Channel Darlington Driver Array</t>
  </si>
  <si>
    <t>Motor Driver, Constant Current, Control Voice Coil</t>
  </si>
  <si>
    <t>VCC+0.5</t>
  </si>
  <si>
    <t>WLCSP-6 / WLP-6K</t>
  </si>
  <si>
    <t>High Voltage, High Current Darlington Transistor Driver Array</t>
  </si>
  <si>
    <t>4.6</t>
  </si>
  <si>
    <t>SOIC-16</t>
  </si>
  <si>
    <t>Relay Driver, 5.0 V</t>
  </si>
  <si>
    <t>1
2</t>
  </si>
  <si>
    <t>6.6</t>
  </si>
  <si>
    <t>0.64</t>
  </si>
  <si>
    <t>SC-74
SOT-23-3</t>
  </si>
  <si>
    <t>Darlington Transistor Array, High Voltage, High Current</t>
  </si>
  <si>
    <t>8 Channel Low-Side Relay Driver</t>
  </si>
  <si>
    <t>36</t>
  </si>
  <si>
    <t>Configurable 8-Channel Driver</t>
  </si>
  <si>
    <t>AEC Qualified
PPAP Capable
Pb-free</t>
  </si>
  <si>
    <t>0.35</t>
  </si>
  <si>
    <t>SSOP-36 EP</t>
  </si>
  <si>
    <t>Motor Driver, Dual H-Bridge, 1.0 A</t>
  </si>
  <si>
    <t>Mirror-Module Driver</t>
  </si>
  <si>
    <t>Door Module Driver</t>
  </si>
  <si>
    <t>Double Hex Driver</t>
  </si>
  <si>
    <t>1.7</t>
  </si>
  <si>
    <t>SOIC-28W
SSOP-24 NB EP</t>
  </si>
  <si>
    <t>Door Module Driver (Lock Driver)</t>
  </si>
  <si>
    <t>Octal LS LIN Relay Driver</t>
  </si>
  <si>
    <t>38</t>
  </si>
  <si>
    <t>0.75</t>
  </si>
  <si>
    <t>SOIC-14 NB</t>
  </si>
  <si>
    <t>4 Channel Low-Side Relay Driver</t>
  </si>
  <si>
    <t>2.2Ω</t>
  </si>
  <si>
    <t>Twelve Low-Side Relay Drivers</t>
  </si>
  <si>
    <t>Octal Low-side Relay Driver, Eight Channel</t>
  </si>
  <si>
    <t>0.95</t>
  </si>
  <si>
    <t>Relay Driver, 5.0 V, Single</t>
  </si>
  <si>
    <t>0.9</t>
  </si>
  <si>
    <t>SOT-23-3</t>
  </si>
  <si>
    <t>Relay Driver, 5.0 V , Dual</t>
  </si>
  <si>
    <t>Pb-free
Halide free
AEC Qualified
PPAP Capable</t>
  </si>
  <si>
    <t>SC-74</t>
  </si>
  <si>
    <t>Relay Driver, 12 V</t>
  </si>
  <si>
    <t>Relay Driver, 24 V</t>
  </si>
  <si>
    <t>Relay Driver, 48 V</t>
  </si>
  <si>
    <t>Zero Voltage Switch Power Controller</t>
  </si>
  <si>
    <t>-10</t>
  </si>
  <si>
    <t>7.7</t>
  </si>
  <si>
    <t>85</t>
  </si>
  <si>
    <t>PDIP-8
SOIC-8</t>
  </si>
  <si>
    <t>Darlington Transistor Driver Array</t>
  </si>
  <si>
    <t>0.0001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</si>
</sst>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  <family val="2"/>
    </font>
    <font>
      <b/>
      <sz val="10"/>
      <color indexed="9"/>
      <name val="Arial"/>
      <family val="2"/>
    </font>
    <font>
      <sz val="9"/>
      <name val="宋体"/>
      <charset val="134"/>
    </font>
    <font>
      <sz val="10"/>
      <name val="Arial"/>
      <family val="2"/>
    </font>
    <font>
      <sz val="10"/>
      <name val="宋体"/>
      <charset val="134"/>
    </font>
    <font>
      <b/>
      <sz val="10"/>
      <color indexed="9"/>
      <name val="Arial"/>
      <family val="2"/>
    </font>
    <font>
      <b/>
      <sz val="10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0" xfId="0" applyFont="1" applyFill="1"/>
    <xf numFmtId="0" fontId="0" fillId="0" borderId="0" xfId="0" applyAlignment="1">
      <alignment wrapText="1"/>
    </xf>
    <xf numFmtId="0" fontId="6" fillId="2" borderId="0" xfId="0" applyFont="1" applyFill="1"/>
    <xf numFmtId="0" fontId="5" fillId="2" borderId="0" xfId="0" applyFont="1" applyFill="1"/>
    <xf numFmtId="0" fontId="4" fillId="0" borderId="0" xfId="0" applyFont="1" applyAlignment="1"/>
    <xf numFmtId="0" fontId="4" fillId="0" borderId="0" xfId="0" applyFont="1" applyAlignment="1">
      <alignment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Y208"/>
  <sheetViews>
    <sheetView tabSelected="1" workbookViewId="0">
      <pane ySplit="1" topLeftCell="A2" activePane="bottomLeft" state="frozen"/>
      <selection pane="bottomLeft" activeCell="A181" sqref="A181:A208"/>
    </sheetView>
  </sheetViews>
  <sheetFormatPr defaultRowHeight="12.75" x14ac:dyDescent="0.2"/>
  <cols>
    <col min="1" max="1" width="14.85546875" customWidth="1"/>
    <col min="2" max="25" width="18" customWidth="1"/>
  </cols>
  <sheetData>
    <row r="1" spans="1:25" x14ac:dyDescent="0.2">
      <c r="A1" s="3" t="s">
        <v>83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4" t="s">
        <v>84</v>
      </c>
      <c r="H1" s="1" t="s">
        <v>356</v>
      </c>
      <c r="I1" s="1" t="s">
        <v>5</v>
      </c>
      <c r="J1" s="1" t="s">
        <v>6</v>
      </c>
      <c r="K1" s="1" t="s">
        <v>7</v>
      </c>
      <c r="L1" s="1" t="s">
        <v>8</v>
      </c>
      <c r="M1" s="1" t="s">
        <v>9</v>
      </c>
      <c r="N1" s="4" t="s">
        <v>85</v>
      </c>
      <c r="O1" s="1" t="s">
        <v>10</v>
      </c>
      <c r="P1" s="4" t="s">
        <v>239</v>
      </c>
      <c r="Q1" s="1" t="s">
        <v>11</v>
      </c>
      <c r="R1" s="1" t="s">
        <v>12</v>
      </c>
      <c r="S1" s="4" t="s">
        <v>240</v>
      </c>
      <c r="T1" s="1" t="s">
        <v>357</v>
      </c>
      <c r="U1" s="1" t="s">
        <v>358</v>
      </c>
      <c r="V1" s="1" t="s">
        <v>359</v>
      </c>
      <c r="W1" s="1" t="s">
        <v>360</v>
      </c>
      <c r="X1" s="1" t="s">
        <v>361</v>
      </c>
      <c r="Y1" s="1" t="s">
        <v>13</v>
      </c>
    </row>
    <row r="2" spans="1:25" ht="51" x14ac:dyDescent="0.2">
      <c r="A2" s="5" t="s">
        <v>82</v>
      </c>
      <c r="B2" t="str">
        <f>HYPERLINK("https://www.onsemi.com/PowerSolutions/product.do?id=NCV7726A","NCV7726A")</f>
        <v>NCV7726A</v>
      </c>
      <c r="C2" t="str">
        <f>HYPERLINK("https://www.onsemi.com/pub/Collateral/NCV7726A-D.PDF","NCV7726A/D (269kB)")</f>
        <v>NCV7726A/D (269kB)</v>
      </c>
      <c r="D2" t="s">
        <v>14</v>
      </c>
      <c r="E2" s="2" t="s">
        <v>15</v>
      </c>
      <c r="F2" t="s">
        <v>16</v>
      </c>
      <c r="I2" s="2" t="s">
        <v>17</v>
      </c>
      <c r="J2" s="2" t="s">
        <v>18</v>
      </c>
      <c r="K2" s="2" t="s">
        <v>19</v>
      </c>
      <c r="L2" s="2" t="s">
        <v>17</v>
      </c>
      <c r="M2" s="2" t="s">
        <v>20</v>
      </c>
      <c r="N2" s="2"/>
      <c r="O2" s="2" t="s">
        <v>21</v>
      </c>
      <c r="P2" s="2"/>
      <c r="Q2" s="2" t="s">
        <v>22</v>
      </c>
      <c r="R2" s="2" t="s">
        <v>23</v>
      </c>
      <c r="S2" s="2"/>
      <c r="T2" s="2"/>
      <c r="U2" s="2"/>
      <c r="V2" s="2"/>
      <c r="W2" s="2"/>
      <c r="X2" s="2"/>
      <c r="Y2" s="2" t="s">
        <v>24</v>
      </c>
    </row>
    <row r="3" spans="1:25" ht="25.5" x14ac:dyDescent="0.2">
      <c r="A3" s="5" t="s">
        <v>82</v>
      </c>
      <c r="B3" t="str">
        <f>HYPERLINK("https://www.onsemi.com/PowerSolutions/product.do?id=LB1638MC","LB1638MC")</f>
        <v>LB1638MC</v>
      </c>
      <c r="C3" t="str">
        <f>HYPERLINK("https://www.onsemi.com/pub/Collateral/ENA2026-D.PDF","ENA2026/D (62.0kB)")</f>
        <v>ENA2026/D (62.0kB)</v>
      </c>
      <c r="D3" t="s">
        <v>25</v>
      </c>
      <c r="E3" s="2" t="s">
        <v>27</v>
      </c>
      <c r="F3" t="s">
        <v>28</v>
      </c>
      <c r="I3" s="2" t="s">
        <v>29</v>
      </c>
      <c r="J3" s="2" t="s">
        <v>30</v>
      </c>
      <c r="K3" s="2" t="s">
        <v>31</v>
      </c>
      <c r="L3" s="2" t="s">
        <v>30</v>
      </c>
      <c r="M3" t="s">
        <v>32</v>
      </c>
      <c r="O3" s="2" t="s">
        <v>33</v>
      </c>
      <c r="P3" s="2"/>
      <c r="Q3" s="2" t="s">
        <v>34</v>
      </c>
      <c r="R3" s="2" t="s">
        <v>23</v>
      </c>
      <c r="S3" s="2"/>
      <c r="T3" s="2"/>
      <c r="U3" s="2"/>
      <c r="V3" s="2"/>
      <c r="W3" s="2"/>
      <c r="X3" s="2"/>
      <c r="Y3" s="2" t="s">
        <v>35</v>
      </c>
    </row>
    <row r="4" spans="1:25" ht="25.5" x14ac:dyDescent="0.2">
      <c r="A4" s="5" t="s">
        <v>82</v>
      </c>
      <c r="B4" t="str">
        <f>HYPERLINK("https://www.onsemi.com/PowerSolutions/product.do?id=LB1830MC","LB1830MC")</f>
        <v>LB1830MC</v>
      </c>
      <c r="C4" t="str">
        <f>HYPERLINK("https://www.onsemi.com/pub/Collateral/ENA2049-D.PDF","ENA2049/D (62.0kB)")</f>
        <v>ENA2049/D (62.0kB)</v>
      </c>
      <c r="D4" t="s">
        <v>36</v>
      </c>
      <c r="E4" s="2" t="s">
        <v>27</v>
      </c>
      <c r="F4" t="s">
        <v>28</v>
      </c>
      <c r="I4" s="2" t="s">
        <v>37</v>
      </c>
      <c r="J4" s="2" t="s">
        <v>30</v>
      </c>
      <c r="K4" s="2" t="s">
        <v>37</v>
      </c>
      <c r="L4" s="2" t="s">
        <v>30</v>
      </c>
      <c r="M4" t="s">
        <v>32</v>
      </c>
      <c r="O4" s="2" t="s">
        <v>38</v>
      </c>
      <c r="P4" s="2"/>
      <c r="Q4" s="2" t="s">
        <v>34</v>
      </c>
      <c r="R4" s="2" t="s">
        <v>23</v>
      </c>
      <c r="S4" s="2"/>
      <c r="T4" s="2"/>
      <c r="U4" s="2"/>
      <c r="V4" s="2"/>
      <c r="W4" s="2"/>
      <c r="X4" s="2"/>
      <c r="Y4" s="2" t="s">
        <v>35</v>
      </c>
    </row>
    <row r="5" spans="1:25" x14ac:dyDescent="0.2">
      <c r="A5" s="5" t="s">
        <v>82</v>
      </c>
      <c r="B5" t="str">
        <f>HYPERLINK("https://www.onsemi.com/PowerSolutions/product.do?id=LB1843V","LB1843V")</f>
        <v>LB1843V</v>
      </c>
      <c r="C5" t="str">
        <f>HYPERLINK("https://www.onsemi.com/pub/Collateral/LB1843V-D.PDF","LB1843V/D (488kB)")</f>
        <v>LB1843V/D (488kB)</v>
      </c>
      <c r="D5" t="s">
        <v>39</v>
      </c>
      <c r="E5" s="2" t="s">
        <v>40</v>
      </c>
      <c r="F5" t="s">
        <v>28</v>
      </c>
      <c r="I5" s="2" t="s">
        <v>29</v>
      </c>
      <c r="J5" s="2" t="s">
        <v>30</v>
      </c>
      <c r="K5" s="2" t="s">
        <v>37</v>
      </c>
      <c r="L5" s="2" t="s">
        <v>30</v>
      </c>
      <c r="M5" t="s">
        <v>32</v>
      </c>
      <c r="O5" s="2" t="s">
        <v>26</v>
      </c>
      <c r="P5" s="2"/>
      <c r="Q5" s="2" t="s">
        <v>34</v>
      </c>
      <c r="R5" s="2" t="s">
        <v>41</v>
      </c>
      <c r="S5" s="2"/>
      <c r="T5" s="2"/>
      <c r="U5" s="2"/>
      <c r="V5" s="2"/>
      <c r="W5" s="2"/>
      <c r="X5" s="2"/>
      <c r="Y5" s="2" t="s">
        <v>42</v>
      </c>
    </row>
    <row r="6" spans="1:25" ht="25.5" x14ac:dyDescent="0.2">
      <c r="A6" s="5" t="s">
        <v>82</v>
      </c>
      <c r="B6" t="str">
        <f>HYPERLINK("https://www.onsemi.com/PowerSolutions/product.do?id=LB1930MC","LB1930MC")</f>
        <v>LB1930MC</v>
      </c>
      <c r="C6" t="str">
        <f>HYPERLINK("https://www.onsemi.com/pub/Collateral/ENA2018-D.PDF","ENA2018/D (68.0kB)")</f>
        <v>ENA2018/D (68.0kB)</v>
      </c>
      <c r="D6" t="s">
        <v>43</v>
      </c>
      <c r="E6" s="2" t="s">
        <v>27</v>
      </c>
      <c r="F6" t="s">
        <v>28</v>
      </c>
      <c r="I6" s="2" t="s">
        <v>29</v>
      </c>
      <c r="J6" s="2" t="s">
        <v>44</v>
      </c>
      <c r="K6" s="2" t="s">
        <v>29</v>
      </c>
      <c r="L6" s="2" t="s">
        <v>44</v>
      </c>
      <c r="M6" t="s">
        <v>32</v>
      </c>
      <c r="O6" s="2" t="s">
        <v>33</v>
      </c>
      <c r="P6" s="2"/>
      <c r="Q6" s="2" t="s">
        <v>34</v>
      </c>
      <c r="R6" s="2" t="s">
        <v>23</v>
      </c>
      <c r="S6" s="2"/>
      <c r="T6" s="2"/>
      <c r="U6" s="2"/>
      <c r="V6" s="2"/>
      <c r="W6" s="2"/>
      <c r="X6" s="2"/>
      <c r="Y6" s="2" t="s">
        <v>35</v>
      </c>
    </row>
    <row r="7" spans="1:25" ht="25.5" x14ac:dyDescent="0.2">
      <c r="A7" s="5" t="s">
        <v>82</v>
      </c>
      <c r="B7" t="str">
        <f>HYPERLINK("https://www.onsemi.com/PowerSolutions/product.do?id=LB1938FA","LB1938FA")</f>
        <v>LB1938FA</v>
      </c>
      <c r="C7" t="str">
        <f>HYPERLINK("https://www.onsemi.com/pub/Collateral/ENA2041-D.PDF","ENA2041/D (90.0kB)")</f>
        <v>ENA2041/D (90.0kB)</v>
      </c>
      <c r="D7" t="s">
        <v>45</v>
      </c>
      <c r="E7" s="2" t="s">
        <v>27</v>
      </c>
      <c r="F7" t="s">
        <v>28</v>
      </c>
      <c r="I7" s="2" t="s">
        <v>29</v>
      </c>
      <c r="J7" s="2" t="s">
        <v>46</v>
      </c>
      <c r="K7" s="2" t="s">
        <v>29</v>
      </c>
      <c r="L7" s="2" t="s">
        <v>46</v>
      </c>
      <c r="M7" t="s">
        <v>32</v>
      </c>
      <c r="O7" s="2" t="s">
        <v>26</v>
      </c>
      <c r="P7" s="2"/>
      <c r="Q7" s="2" t="s">
        <v>34</v>
      </c>
      <c r="R7" s="2" t="s">
        <v>23</v>
      </c>
      <c r="S7" s="2"/>
      <c r="T7" s="2"/>
      <c r="U7" s="2"/>
      <c r="V7" s="2"/>
      <c r="W7" s="2"/>
      <c r="X7" s="2"/>
      <c r="Y7" s="2" t="s">
        <v>47</v>
      </c>
    </row>
    <row r="8" spans="1:25" ht="25.5" x14ac:dyDescent="0.2">
      <c r="A8" s="5" t="s">
        <v>82</v>
      </c>
      <c r="B8" t="str">
        <f>HYPERLINK("https://www.onsemi.com/PowerSolutions/product.do?id=LV8417CS","LV8417CS")</f>
        <v>LV8417CS</v>
      </c>
      <c r="C8" t="str">
        <f>HYPERLINK("https://www.onsemi.com/pub/Collateral/ENA1996-D.PDF","ENA1996/D (162.0kB)")</f>
        <v>ENA1996/D (162.0kB)</v>
      </c>
      <c r="D8" t="s">
        <v>48</v>
      </c>
      <c r="E8" s="2" t="s">
        <v>27</v>
      </c>
      <c r="F8" t="s">
        <v>28</v>
      </c>
      <c r="I8" s="2" t="s">
        <v>21</v>
      </c>
      <c r="J8" s="2" t="s">
        <v>49</v>
      </c>
      <c r="K8" s="2" t="s">
        <v>50</v>
      </c>
      <c r="L8" s="2" t="s">
        <v>17</v>
      </c>
      <c r="M8" s="2" t="s">
        <v>33</v>
      </c>
      <c r="N8" s="2"/>
      <c r="O8" s="2" t="s">
        <v>51</v>
      </c>
      <c r="P8" s="2"/>
      <c r="Q8" s="2" t="s">
        <v>34</v>
      </c>
      <c r="R8" s="2" t="s">
        <v>23</v>
      </c>
      <c r="S8" s="2"/>
      <c r="T8" s="2"/>
      <c r="U8" s="2"/>
      <c r="V8" s="2"/>
      <c r="W8" s="2"/>
      <c r="X8" s="2"/>
      <c r="Y8" s="2" t="s">
        <v>52</v>
      </c>
    </row>
    <row r="9" spans="1:25" ht="25.5" x14ac:dyDescent="0.2">
      <c r="A9" s="5" t="s">
        <v>82</v>
      </c>
      <c r="B9" t="str">
        <f>HYPERLINK("https://www.onsemi.com/PowerSolutions/product.do?id=LV8760T","LV8760T")</f>
        <v>LV8760T</v>
      </c>
      <c r="C9" t="str">
        <f>HYPERLINK("https://www.onsemi.com/pub/Collateral/LV8760T-D.PDF","LV8760T/D (164.0kB)")</f>
        <v>LV8760T/D (164.0kB)</v>
      </c>
      <c r="D9" t="s">
        <v>53</v>
      </c>
      <c r="E9" s="2" t="s">
        <v>40</v>
      </c>
      <c r="F9" t="s">
        <v>28</v>
      </c>
      <c r="I9" s="2" t="s">
        <v>30</v>
      </c>
      <c r="J9" s="2" t="s">
        <v>54</v>
      </c>
      <c r="K9" s="2" t="s">
        <v>37</v>
      </c>
      <c r="L9" s="2" t="s">
        <v>17</v>
      </c>
      <c r="M9" s="2" t="s">
        <v>37</v>
      </c>
      <c r="N9" s="2"/>
      <c r="O9" s="2" t="s">
        <v>55</v>
      </c>
      <c r="P9" s="2"/>
      <c r="Q9" s="2" t="s">
        <v>34</v>
      </c>
      <c r="R9" s="2" t="s">
        <v>41</v>
      </c>
      <c r="S9" s="2"/>
      <c r="T9" s="2"/>
      <c r="U9" s="2"/>
      <c r="V9" s="2"/>
      <c r="W9" s="2"/>
      <c r="X9" s="2"/>
      <c r="Y9" s="2" t="s">
        <v>56</v>
      </c>
    </row>
    <row r="10" spans="1:25" x14ac:dyDescent="0.2">
      <c r="A10" s="5" t="s">
        <v>82</v>
      </c>
      <c r="B10" t="str">
        <f>HYPERLINK("https://www.onsemi.com/PowerSolutions/product.do?id=LV8761V","LV8761V")</f>
        <v>LV8761V</v>
      </c>
      <c r="C10" t="str">
        <f>HYPERLINK("https://www.onsemi.com/pub/Collateral/LV8761V-D.PDF","LV8761V/D (185.0kB)")</f>
        <v>LV8761V/D (185.0kB)</v>
      </c>
      <c r="D10" t="s">
        <v>53</v>
      </c>
      <c r="E10" s="2" t="s">
        <v>40</v>
      </c>
      <c r="F10" t="s">
        <v>28</v>
      </c>
      <c r="I10" s="2" t="s">
        <v>30</v>
      </c>
      <c r="J10" s="2" t="s">
        <v>54</v>
      </c>
      <c r="K10" s="2" t="s">
        <v>37</v>
      </c>
      <c r="L10" s="2" t="s">
        <v>57</v>
      </c>
      <c r="M10" s="2" t="s">
        <v>37</v>
      </c>
      <c r="N10" s="2"/>
      <c r="O10" s="2" t="s">
        <v>55</v>
      </c>
      <c r="P10" s="2"/>
      <c r="Q10" s="2" t="s">
        <v>34</v>
      </c>
      <c r="R10" s="2" t="s">
        <v>41</v>
      </c>
      <c r="S10" s="2"/>
      <c r="T10" s="2"/>
      <c r="U10" s="2"/>
      <c r="V10" s="2"/>
      <c r="W10" s="2"/>
      <c r="X10" s="2"/>
      <c r="Y10" s="2" t="s">
        <v>58</v>
      </c>
    </row>
    <row r="11" spans="1:25" ht="51" x14ac:dyDescent="0.2">
      <c r="A11" s="5" t="s">
        <v>82</v>
      </c>
      <c r="B11" t="str">
        <f>HYPERLINK("https://www.onsemi.com/PowerSolutions/product.do?id=NCV7535","NCV7535")</f>
        <v>NCV7535</v>
      </c>
      <c r="C11" t="str">
        <f>HYPERLINK("https://www.onsemi.com/pub/Collateral/NCV7535-D.PDF","NCV7535/D (242kB)")</f>
        <v>NCV7535/D (242kB)</v>
      </c>
      <c r="D11" t="s">
        <v>59</v>
      </c>
      <c r="E11" s="2" t="s">
        <v>15</v>
      </c>
      <c r="F11" t="s">
        <v>28</v>
      </c>
      <c r="I11" t="s">
        <v>32</v>
      </c>
      <c r="J11" t="s">
        <v>32</v>
      </c>
      <c r="K11" t="s">
        <v>32</v>
      </c>
      <c r="L11" t="s">
        <v>32</v>
      </c>
      <c r="M11" t="s">
        <v>32</v>
      </c>
      <c r="O11" t="s">
        <v>32</v>
      </c>
      <c r="Q11" t="s">
        <v>32</v>
      </c>
      <c r="R11" t="s">
        <v>32</v>
      </c>
      <c r="Y11" s="2" t="s">
        <v>60</v>
      </c>
    </row>
    <row r="12" spans="1:25" ht="51" x14ac:dyDescent="0.2">
      <c r="A12" s="5" t="s">
        <v>82</v>
      </c>
      <c r="B12" t="str">
        <f>HYPERLINK("https://www.onsemi.com/PowerSolutions/product.do?id=NCV7703C","NCV7703C")</f>
        <v>NCV7703C</v>
      </c>
      <c r="C12" t="str">
        <f>HYPERLINK("https://www.onsemi.com/pub/Collateral/NCV7703C-D.PDF","NCV7703C/D (222kB)")</f>
        <v>NCV7703C/D (222kB)</v>
      </c>
      <c r="D12" t="s">
        <v>61</v>
      </c>
      <c r="E12" s="2" t="s">
        <v>15</v>
      </c>
      <c r="F12" t="s">
        <v>28</v>
      </c>
      <c r="I12" s="2" t="s">
        <v>17</v>
      </c>
      <c r="J12" s="2" t="s">
        <v>18</v>
      </c>
      <c r="K12" s="2" t="s">
        <v>37</v>
      </c>
      <c r="L12" s="2" t="s">
        <v>63</v>
      </c>
      <c r="M12" s="2" t="s">
        <v>37</v>
      </c>
      <c r="N12" s="2"/>
      <c r="O12" s="2" t="s">
        <v>64</v>
      </c>
      <c r="P12" s="2"/>
      <c r="Q12" s="2" t="s">
        <v>22</v>
      </c>
      <c r="R12" t="s">
        <v>32</v>
      </c>
      <c r="Y12" s="2" t="s">
        <v>65</v>
      </c>
    </row>
    <row r="13" spans="1:25" ht="51" x14ac:dyDescent="0.2">
      <c r="A13" s="5" t="s">
        <v>82</v>
      </c>
      <c r="B13" t="str">
        <f>HYPERLINK("https://www.onsemi.com/PowerSolutions/product.do?id=NCV7718","NCV7718")</f>
        <v>NCV7718</v>
      </c>
      <c r="C13" t="str">
        <f>HYPERLINK("https://www.onsemi.com/pub/Collateral/NCV7718-D.PDF","NCV7718/D (276kB)")</f>
        <v>NCV7718/D (276kB)</v>
      </c>
      <c r="D13" t="s">
        <v>66</v>
      </c>
      <c r="E13" s="2" t="s">
        <v>15</v>
      </c>
      <c r="F13" t="s">
        <v>28</v>
      </c>
      <c r="I13" s="2" t="s">
        <v>17</v>
      </c>
      <c r="J13" s="2" t="s">
        <v>18</v>
      </c>
      <c r="K13" s="2" t="s">
        <v>19</v>
      </c>
      <c r="L13" s="2" t="s">
        <v>63</v>
      </c>
      <c r="M13" s="2" t="s">
        <v>26</v>
      </c>
      <c r="N13" s="2"/>
      <c r="O13" s="2" t="s">
        <v>21</v>
      </c>
      <c r="P13" s="2"/>
      <c r="Q13" s="2" t="s">
        <v>22</v>
      </c>
      <c r="R13" s="2" t="s">
        <v>23</v>
      </c>
      <c r="S13" s="2"/>
      <c r="T13" s="2"/>
      <c r="U13" s="2"/>
      <c r="V13" s="2"/>
      <c r="W13" s="2"/>
      <c r="X13" s="2"/>
      <c r="Y13" s="2" t="s">
        <v>67</v>
      </c>
    </row>
    <row r="14" spans="1:25" ht="51" x14ac:dyDescent="0.2">
      <c r="A14" s="5" t="s">
        <v>82</v>
      </c>
      <c r="B14" t="str">
        <f>HYPERLINK("https://www.onsemi.com/PowerSolutions/product.do?id=NCV7718B","NCV7718B")</f>
        <v>NCV7718B</v>
      </c>
      <c r="C14" t="str">
        <f>HYPERLINK("https://www.onsemi.com/pub/Collateral/NCV7718B-D.PDF","NCV7718B/D (324kB)")</f>
        <v>NCV7718B/D (324kB)</v>
      </c>
      <c r="D14" t="s">
        <v>66</v>
      </c>
      <c r="E14" s="2" t="s">
        <v>15</v>
      </c>
      <c r="F14" t="s">
        <v>28</v>
      </c>
      <c r="I14" s="2" t="s">
        <v>17</v>
      </c>
      <c r="J14" s="2" t="s">
        <v>18</v>
      </c>
      <c r="K14" s="2" t="s">
        <v>19</v>
      </c>
      <c r="L14" s="2" t="s">
        <v>63</v>
      </c>
      <c r="M14" s="2" t="s">
        <v>26</v>
      </c>
      <c r="N14" s="2"/>
      <c r="O14" s="2" t="s">
        <v>21</v>
      </c>
      <c r="P14" s="2"/>
      <c r="Q14" s="2" t="s">
        <v>22</v>
      </c>
      <c r="R14" s="2" t="s">
        <v>23</v>
      </c>
      <c r="S14" s="2"/>
      <c r="T14" s="2"/>
      <c r="U14" s="2"/>
      <c r="V14" s="2"/>
      <c r="W14" s="2"/>
      <c r="X14" s="2"/>
      <c r="Y14" s="2" t="s">
        <v>24</v>
      </c>
    </row>
    <row r="15" spans="1:25" ht="51" x14ac:dyDescent="0.2">
      <c r="A15" s="5" t="s">
        <v>82</v>
      </c>
      <c r="B15" t="str">
        <f>HYPERLINK("https://www.onsemi.com/PowerSolutions/product.do?id=NCV7719","NCV7719")</f>
        <v>NCV7719</v>
      </c>
      <c r="C15" t="str">
        <f>HYPERLINK("https://www.onsemi.com/pub/Collateral/NCV7719-D.PDF","NCV7719/D (231kB)")</f>
        <v>NCV7719/D (231kB)</v>
      </c>
      <c r="D15" t="s">
        <v>68</v>
      </c>
      <c r="E15" s="2" t="s">
        <v>15</v>
      </c>
      <c r="F15" t="s">
        <v>28</v>
      </c>
      <c r="I15" t="s">
        <v>32</v>
      </c>
      <c r="J15" t="s">
        <v>32</v>
      </c>
      <c r="K15" t="s">
        <v>32</v>
      </c>
      <c r="L15" t="s">
        <v>32</v>
      </c>
      <c r="M15" t="s">
        <v>32</v>
      </c>
      <c r="O15" t="s">
        <v>32</v>
      </c>
      <c r="Q15" t="s">
        <v>32</v>
      </c>
      <c r="R15" t="s">
        <v>32</v>
      </c>
      <c r="Y15" s="2" t="s">
        <v>24</v>
      </c>
    </row>
    <row r="16" spans="1:25" ht="51" x14ac:dyDescent="0.2">
      <c r="A16" s="5" t="s">
        <v>82</v>
      </c>
      <c r="B16" t="str">
        <f>HYPERLINK("https://www.onsemi.com/PowerSolutions/product.do?id=NCV7720","NCV7720")</f>
        <v>NCV7720</v>
      </c>
      <c r="C16" t="str">
        <f>HYPERLINK("https://www.onsemi.com/pub/Collateral/NCV7720-D.PDF","NCV7720/D (255kB)")</f>
        <v>NCV7720/D (255kB)</v>
      </c>
      <c r="D16" t="s">
        <v>69</v>
      </c>
      <c r="E16" s="2" t="s">
        <v>15</v>
      </c>
      <c r="F16" t="s">
        <v>28</v>
      </c>
      <c r="I16" s="2" t="s">
        <v>17</v>
      </c>
      <c r="J16" s="2" t="s">
        <v>18</v>
      </c>
      <c r="K16" s="2" t="s">
        <v>19</v>
      </c>
      <c r="L16" s="2" t="s">
        <v>63</v>
      </c>
      <c r="M16" s="2" t="s">
        <v>26</v>
      </c>
      <c r="N16" s="2"/>
      <c r="O16" s="2" t="s">
        <v>21</v>
      </c>
      <c r="P16" s="2"/>
      <c r="Q16" s="2" t="s">
        <v>22</v>
      </c>
      <c r="R16" t="s">
        <v>32</v>
      </c>
      <c r="Y16" s="2" t="s">
        <v>24</v>
      </c>
    </row>
    <row r="17" spans="1:25" ht="51" x14ac:dyDescent="0.2">
      <c r="A17" s="5" t="s">
        <v>82</v>
      </c>
      <c r="B17" t="str">
        <f>HYPERLINK("https://www.onsemi.com/PowerSolutions/product.do?id=NCV7721","NCV7721")</f>
        <v>NCV7721</v>
      </c>
      <c r="C17" t="str">
        <f>HYPERLINK("https://www.onsemi.com/pub/Collateral/NCV7721-D.PDF","NCV7721/D (90kB)")</f>
        <v>NCV7721/D (90kB)</v>
      </c>
      <c r="D17" t="s">
        <v>70</v>
      </c>
      <c r="E17" s="2" t="s">
        <v>15</v>
      </c>
      <c r="F17" t="s">
        <v>28</v>
      </c>
      <c r="I17" s="2" t="s">
        <v>17</v>
      </c>
      <c r="J17" s="2" t="s">
        <v>18</v>
      </c>
      <c r="K17" s="2" t="s">
        <v>19</v>
      </c>
      <c r="L17" s="2" t="s">
        <v>17</v>
      </c>
      <c r="M17" s="2" t="s">
        <v>20</v>
      </c>
      <c r="N17" s="2"/>
      <c r="O17" s="2" t="s">
        <v>64</v>
      </c>
      <c r="P17" s="2"/>
      <c r="Q17" s="2" t="s">
        <v>34</v>
      </c>
      <c r="R17" s="2" t="s">
        <v>71</v>
      </c>
      <c r="S17" s="2"/>
      <c r="T17" s="2"/>
      <c r="U17" s="2"/>
      <c r="V17" s="2"/>
      <c r="W17" s="2"/>
      <c r="X17" s="2"/>
      <c r="Y17" s="2" t="s">
        <v>65</v>
      </c>
    </row>
    <row r="18" spans="1:25" ht="51" x14ac:dyDescent="0.2">
      <c r="A18" s="5" t="s">
        <v>82</v>
      </c>
      <c r="B18" t="str">
        <f>HYPERLINK("https://www.onsemi.com/PowerSolutions/product.do?id=NCV7726B","NCV7726B")</f>
        <v>NCV7726B</v>
      </c>
      <c r="C18" t="str">
        <f>HYPERLINK("https://www.onsemi.com/pub/Collateral/NCV7726B-D.PDF","NCV7726B/D (278kB)")</f>
        <v>NCV7726B/D (278kB)</v>
      </c>
      <c r="D18" t="s">
        <v>14</v>
      </c>
      <c r="E18" s="2" t="s">
        <v>15</v>
      </c>
      <c r="F18" t="s">
        <v>28</v>
      </c>
      <c r="I18" s="2" t="s">
        <v>17</v>
      </c>
      <c r="J18" s="2" t="s">
        <v>18</v>
      </c>
      <c r="K18" s="2" t="s">
        <v>19</v>
      </c>
      <c r="L18" s="2" t="s">
        <v>17</v>
      </c>
      <c r="M18" s="2" t="s">
        <v>20</v>
      </c>
      <c r="N18" s="2"/>
      <c r="O18" s="2" t="s">
        <v>21</v>
      </c>
      <c r="P18" s="2"/>
      <c r="Q18" s="2" t="s">
        <v>22</v>
      </c>
      <c r="R18" s="2" t="s">
        <v>23</v>
      </c>
      <c r="S18" s="2"/>
      <c r="T18" s="2"/>
      <c r="U18" s="2"/>
      <c r="V18" s="2"/>
      <c r="W18" s="2"/>
      <c r="X18" s="2"/>
      <c r="Y18" s="2" t="s">
        <v>24</v>
      </c>
    </row>
    <row r="19" spans="1:25" ht="51" x14ac:dyDescent="0.2">
      <c r="A19" s="5" t="s">
        <v>82</v>
      </c>
      <c r="B19" t="str">
        <f>HYPERLINK("https://www.onsemi.com/PowerSolutions/product.do?id=NCV7728","NCV7728")</f>
        <v>NCV7728</v>
      </c>
      <c r="C19" t="str">
        <f>HYPERLINK("https://www.onsemi.com/pub/Collateral/NCV7728-D.PDF","NCV7728/D (277kB)")</f>
        <v>NCV7728/D (277kB)</v>
      </c>
      <c r="D19" t="s">
        <v>66</v>
      </c>
      <c r="E19" s="2" t="s">
        <v>15</v>
      </c>
      <c r="F19" t="s">
        <v>28</v>
      </c>
      <c r="I19" s="2" t="s">
        <v>17</v>
      </c>
      <c r="J19" s="2" t="s">
        <v>18</v>
      </c>
      <c r="K19" s="2" t="s">
        <v>19</v>
      </c>
      <c r="L19" s="2" t="s">
        <v>17</v>
      </c>
      <c r="M19" s="2" t="s">
        <v>26</v>
      </c>
      <c r="N19" s="2"/>
      <c r="O19" s="2" t="s">
        <v>21</v>
      </c>
      <c r="P19" s="2"/>
      <c r="Q19" s="2" t="s">
        <v>22</v>
      </c>
      <c r="R19" s="2" t="s">
        <v>23</v>
      </c>
      <c r="S19" s="2"/>
      <c r="T19" s="2"/>
      <c r="U19" s="2"/>
      <c r="V19" s="2"/>
      <c r="W19" s="2"/>
      <c r="X19" s="2"/>
      <c r="Y19" s="2" t="s">
        <v>67</v>
      </c>
    </row>
    <row r="20" spans="1:25" x14ac:dyDescent="0.2">
      <c r="A20" s="5" t="s">
        <v>82</v>
      </c>
      <c r="B20" t="str">
        <f>HYPERLINK("https://www.onsemi.com/PowerSolutions/product.do?id=STK681-332-E","STK681-332-E")</f>
        <v>STK681-332-E</v>
      </c>
      <c r="C20" t="str">
        <f>HYPERLINK("https://www.onsemi.com/pub/Collateral/STK681-332-E-D.PDF","STK681-332-E/D (158.0kB)")</f>
        <v>STK681-332-E/D (158.0kB)</v>
      </c>
      <c r="D20" t="s">
        <v>72</v>
      </c>
      <c r="E20" s="2" t="s">
        <v>40</v>
      </c>
      <c r="F20" t="s">
        <v>28</v>
      </c>
      <c r="I20" t="s">
        <v>32</v>
      </c>
      <c r="J20" s="2" t="s">
        <v>73</v>
      </c>
      <c r="K20" s="2" t="s">
        <v>74</v>
      </c>
      <c r="L20" s="2" t="s">
        <v>63</v>
      </c>
      <c r="M20" s="2" t="s">
        <v>75</v>
      </c>
      <c r="N20" s="2"/>
      <c r="O20" s="2" t="s">
        <v>76</v>
      </c>
      <c r="P20" s="2"/>
      <c r="Q20" s="2" t="s">
        <v>77</v>
      </c>
      <c r="R20" s="2" t="s">
        <v>41</v>
      </c>
      <c r="S20" s="2"/>
      <c r="T20" s="2"/>
      <c r="U20" s="2"/>
      <c r="V20" s="2"/>
      <c r="W20" s="2"/>
      <c r="X20" s="2"/>
      <c r="Y20" s="2" t="s">
        <v>78</v>
      </c>
    </row>
    <row r="21" spans="1:25" x14ac:dyDescent="0.2">
      <c r="A21" s="5" t="s">
        <v>82</v>
      </c>
      <c r="B21" t="str">
        <f>HYPERLINK("https://www.onsemi.com/PowerSolutions/product.do?id=STK681-360-E","STK681-360-E")</f>
        <v>STK681-360-E</v>
      </c>
      <c r="C21" t="str">
        <f>HYPERLINK("https://www.onsemi.com/pub/Collateral/ENA2265-D.PDF","ENA2265/D (333kB)")</f>
        <v>ENA2265/D (333kB)</v>
      </c>
      <c r="D21" t="s">
        <v>79</v>
      </c>
      <c r="E21" s="2" t="s">
        <v>40</v>
      </c>
      <c r="F21" t="s">
        <v>28</v>
      </c>
      <c r="I21" s="2" t="s">
        <v>46</v>
      </c>
      <c r="J21" s="2" t="s">
        <v>73</v>
      </c>
      <c r="K21" s="2" t="s">
        <v>74</v>
      </c>
      <c r="L21" s="2" t="s">
        <v>63</v>
      </c>
      <c r="M21" s="2" t="s">
        <v>80</v>
      </c>
      <c r="N21" s="2"/>
      <c r="O21" s="2" t="s">
        <v>81</v>
      </c>
      <c r="P21" s="2"/>
      <c r="Q21" s="2" t="s">
        <v>77</v>
      </c>
      <c r="R21" s="2" t="s">
        <v>71</v>
      </c>
      <c r="S21" s="2"/>
      <c r="T21" s="2"/>
      <c r="U21" s="2"/>
      <c r="V21" s="2"/>
      <c r="W21" s="2"/>
      <c r="X21" s="2"/>
      <c r="Y21" s="2" t="s">
        <v>78</v>
      </c>
    </row>
    <row r="22" spans="1:25" ht="25.5" x14ac:dyDescent="0.2">
      <c r="A22" s="5" t="s">
        <v>86</v>
      </c>
      <c r="B22" t="str">
        <f>HYPERLINK("https://www.onsemi.com/PowerSolutions/product.do?id=LC898249XHTBG","LC898249XHTBG")</f>
        <v>LC898249XHTBG</v>
      </c>
      <c r="C22" t="str">
        <f>HYPERLINK("https://www.onsemi.com/pub/Collateral/LC898249XH-D.PDF","LC898249XH/D (208kB)")</f>
        <v>LC898249XH/D (208kB)</v>
      </c>
      <c r="D22" t="s">
        <v>87</v>
      </c>
      <c r="E22" s="2" t="s">
        <v>27</v>
      </c>
      <c r="F22" t="s">
        <v>16</v>
      </c>
      <c r="G22" t="s">
        <v>32</v>
      </c>
      <c r="I22" s="2" t="s">
        <v>88</v>
      </c>
      <c r="J22" s="2" t="s">
        <v>89</v>
      </c>
      <c r="K22" t="s">
        <v>32</v>
      </c>
      <c r="L22" t="s">
        <v>32</v>
      </c>
      <c r="N22" s="2" t="s">
        <v>90</v>
      </c>
      <c r="O22" t="s">
        <v>32</v>
      </c>
      <c r="Q22" s="2" t="s">
        <v>91</v>
      </c>
      <c r="R22" s="2"/>
      <c r="S22" s="2"/>
      <c r="T22" s="2"/>
      <c r="U22" s="2"/>
      <c r="V22" s="2"/>
      <c r="W22" s="2"/>
      <c r="X22" s="2"/>
      <c r="Y22" s="2" t="s">
        <v>92</v>
      </c>
    </row>
    <row r="23" spans="1:25" ht="25.5" x14ac:dyDescent="0.2">
      <c r="A23" s="5" t="s">
        <v>86</v>
      </c>
      <c r="B23" t="str">
        <f>HYPERLINK("https://www.onsemi.com/PowerSolutions/product.do?id=LV8310H","LV8310H")</f>
        <v>LV8310H</v>
      </c>
      <c r="C23" t="str">
        <f>HYPERLINK("https://www.onsemi.com/pub/Collateral/LV8310H-D.PDF","LV8310H/D (2770kB)")</f>
        <v>LV8310H/D (2770kB)</v>
      </c>
      <c r="D23" t="s">
        <v>93</v>
      </c>
      <c r="E23" s="2" t="s">
        <v>27</v>
      </c>
      <c r="F23" t="s">
        <v>16</v>
      </c>
      <c r="G23" s="2" t="s">
        <v>33</v>
      </c>
      <c r="H23" s="2"/>
      <c r="I23" t="s">
        <v>32</v>
      </c>
      <c r="J23" t="s">
        <v>32</v>
      </c>
      <c r="K23" s="2" t="s">
        <v>94</v>
      </c>
      <c r="L23" s="2" t="s">
        <v>95</v>
      </c>
      <c r="M23" s="2"/>
      <c r="N23" s="2" t="s">
        <v>96</v>
      </c>
      <c r="O23" s="2" t="s">
        <v>90</v>
      </c>
      <c r="P23" s="2"/>
      <c r="Q23" s="2" t="s">
        <v>77</v>
      </c>
      <c r="R23" s="2"/>
      <c r="S23" s="2"/>
      <c r="T23" s="2"/>
      <c r="U23" s="2"/>
      <c r="V23" s="2"/>
      <c r="W23" s="2"/>
      <c r="X23" s="2"/>
      <c r="Y23" s="2" t="s">
        <v>97</v>
      </c>
    </row>
    <row r="24" spans="1:25" ht="25.5" x14ac:dyDescent="0.2">
      <c r="A24" s="5" t="s">
        <v>86</v>
      </c>
      <c r="B24" t="str">
        <f>HYPERLINK("https://www.onsemi.com/PowerSolutions/product.do?id=LA6581DM","LA6581DM")</f>
        <v>LA6581DM</v>
      </c>
      <c r="C24" t="str">
        <f>HYPERLINK("https://www.onsemi.com/pub/Collateral/ENA2264-D.PDF","ENA2264/D (355kB)")</f>
        <v>ENA2264/D (355kB)</v>
      </c>
      <c r="D24" t="s">
        <v>98</v>
      </c>
      <c r="E24" s="2" t="s">
        <v>27</v>
      </c>
      <c r="F24" t="s">
        <v>28</v>
      </c>
      <c r="G24" s="2" t="s">
        <v>33</v>
      </c>
      <c r="H24" s="2"/>
      <c r="I24" s="2" t="s">
        <v>29</v>
      </c>
      <c r="J24" s="2" t="s">
        <v>99</v>
      </c>
      <c r="K24" s="2" t="s">
        <v>29</v>
      </c>
      <c r="L24" s="2" t="s">
        <v>99</v>
      </c>
      <c r="M24" s="2"/>
      <c r="N24" s="2" t="s">
        <v>100</v>
      </c>
      <c r="O24" s="2" t="s">
        <v>38</v>
      </c>
      <c r="P24" s="2"/>
      <c r="Q24" s="2" t="s">
        <v>101</v>
      </c>
      <c r="R24" s="2"/>
      <c r="S24" s="2"/>
      <c r="T24" s="2"/>
      <c r="U24" s="2"/>
      <c r="V24" s="2"/>
      <c r="W24" s="2"/>
      <c r="X24" s="2"/>
      <c r="Y24" s="2" t="s">
        <v>47</v>
      </c>
    </row>
    <row r="25" spans="1:25" ht="25.5" x14ac:dyDescent="0.2">
      <c r="A25" s="5" t="s">
        <v>86</v>
      </c>
      <c r="B25" t="str">
        <f>HYPERLINK("https://www.onsemi.com/PowerSolutions/product.do?id=LA6583MC","LA6583MC")</f>
        <v>LA6583MC</v>
      </c>
      <c r="C25" t="str">
        <f>HYPERLINK("https://www.onsemi.com/pub/Collateral/LA6583MC-D.PDF","LA6583MC/D (120kB)")</f>
        <v>LA6583MC/D (120kB)</v>
      </c>
      <c r="D25" t="s">
        <v>102</v>
      </c>
      <c r="E25" s="2" t="s">
        <v>27</v>
      </c>
      <c r="F25" t="s">
        <v>28</v>
      </c>
      <c r="G25" s="2" t="s">
        <v>33</v>
      </c>
      <c r="H25" s="2"/>
      <c r="I25" s="2" t="s">
        <v>103</v>
      </c>
      <c r="J25" s="2" t="s">
        <v>104</v>
      </c>
      <c r="K25" s="2" t="s">
        <v>103</v>
      </c>
      <c r="L25" s="2" t="s">
        <v>104</v>
      </c>
      <c r="M25" s="2"/>
      <c r="N25" s="2" t="s">
        <v>26</v>
      </c>
      <c r="O25" t="s">
        <v>32</v>
      </c>
      <c r="Q25" s="2" t="s">
        <v>101</v>
      </c>
      <c r="R25" s="2"/>
      <c r="S25" s="2"/>
      <c r="T25" s="2"/>
      <c r="U25" s="2"/>
      <c r="V25" s="2"/>
      <c r="W25" s="2"/>
      <c r="X25" s="2"/>
      <c r="Y25" s="2" t="s">
        <v>105</v>
      </c>
    </row>
    <row r="26" spans="1:25" ht="25.5" x14ac:dyDescent="0.2">
      <c r="A26" s="5" t="s">
        <v>86</v>
      </c>
      <c r="B26" t="str">
        <f>HYPERLINK("https://www.onsemi.com/PowerSolutions/product.do?id=LA6584JA","LA6584JA")</f>
        <v>LA6584JA</v>
      </c>
      <c r="C26" t="str">
        <f>HYPERLINK("https://www.onsemi.com/pub/Collateral/ENA2125-D.PDF","ENA2125/D (67.0kB)")</f>
        <v>ENA2125/D (67.0kB)</v>
      </c>
      <c r="D26" t="s">
        <v>106</v>
      </c>
      <c r="E26" s="2" t="s">
        <v>27</v>
      </c>
      <c r="F26" t="s">
        <v>28</v>
      </c>
      <c r="G26" s="2" t="s">
        <v>33</v>
      </c>
      <c r="H26" s="2"/>
      <c r="I26" s="2" t="s">
        <v>103</v>
      </c>
      <c r="J26" s="2" t="s">
        <v>104</v>
      </c>
      <c r="K26" s="2" t="s">
        <v>103</v>
      </c>
      <c r="L26" s="2" t="s">
        <v>104</v>
      </c>
      <c r="M26" s="2"/>
      <c r="N26" s="2" t="s">
        <v>62</v>
      </c>
      <c r="O26" t="s">
        <v>32</v>
      </c>
      <c r="Q26" s="2" t="s">
        <v>101</v>
      </c>
      <c r="R26" s="2"/>
      <c r="S26" s="2"/>
      <c r="T26" s="2"/>
      <c r="U26" s="2"/>
      <c r="V26" s="2"/>
      <c r="W26" s="2"/>
      <c r="X26" s="2"/>
      <c r="Y26" s="2" t="s">
        <v>42</v>
      </c>
    </row>
    <row r="27" spans="1:25" ht="25.5" x14ac:dyDescent="0.2">
      <c r="A27" s="5" t="s">
        <v>86</v>
      </c>
      <c r="B27" t="str">
        <f>HYPERLINK("https://www.onsemi.com/PowerSolutions/product.do?id=LA6584M","LA6584M")</f>
        <v>LA6584M</v>
      </c>
      <c r="C27" t="str">
        <f>HYPERLINK("https://www.onsemi.com/pub/Collateral/ENN8349-D.PDF","ENN8349/D (87.0kB)")</f>
        <v>ENN8349/D (87.0kB)</v>
      </c>
      <c r="D27" t="s">
        <v>106</v>
      </c>
      <c r="E27" s="2" t="s">
        <v>27</v>
      </c>
      <c r="F27" t="s">
        <v>28</v>
      </c>
      <c r="G27" s="2" t="s">
        <v>33</v>
      </c>
      <c r="H27" s="2"/>
      <c r="I27" s="2" t="s">
        <v>103</v>
      </c>
      <c r="J27" s="2" t="s">
        <v>104</v>
      </c>
      <c r="K27" s="2" t="s">
        <v>103</v>
      </c>
      <c r="L27" s="2" t="s">
        <v>104</v>
      </c>
      <c r="M27" s="2"/>
      <c r="N27" s="2" t="s">
        <v>107</v>
      </c>
      <c r="O27" t="s">
        <v>32</v>
      </c>
      <c r="Q27" s="2" t="s">
        <v>101</v>
      </c>
      <c r="R27" s="2"/>
      <c r="S27" s="2"/>
      <c r="T27" s="2"/>
      <c r="U27" s="2"/>
      <c r="V27" s="2"/>
      <c r="W27" s="2"/>
      <c r="X27" s="2"/>
      <c r="Y27" s="2" t="s">
        <v>108</v>
      </c>
    </row>
    <row r="28" spans="1:25" ht="25.5" x14ac:dyDescent="0.2">
      <c r="A28" s="5" t="s">
        <v>86</v>
      </c>
      <c r="B28" t="str">
        <f>HYPERLINK("https://www.onsemi.com/PowerSolutions/product.do?id=LA6585FA","LA6585FA")</f>
        <v>LA6585FA</v>
      </c>
      <c r="C28" t="str">
        <f>HYPERLINK("https://www.onsemi.com/pub/Collateral/ENA2088-D.PDF","ENA2088/D (201.0kB)")</f>
        <v>ENA2088/D (201.0kB)</v>
      </c>
      <c r="D28" t="s">
        <v>102</v>
      </c>
      <c r="E28" s="2" t="s">
        <v>27</v>
      </c>
      <c r="F28" t="s">
        <v>28</v>
      </c>
      <c r="G28" s="2" t="s">
        <v>33</v>
      </c>
      <c r="H28" s="2"/>
      <c r="I28" s="2" t="s">
        <v>29</v>
      </c>
      <c r="J28" s="2" t="s">
        <v>104</v>
      </c>
      <c r="K28" s="2" t="s">
        <v>29</v>
      </c>
      <c r="L28" s="2" t="s">
        <v>104</v>
      </c>
      <c r="M28" s="2"/>
      <c r="N28" t="s">
        <v>32</v>
      </c>
      <c r="O28" s="2" t="s">
        <v>38</v>
      </c>
      <c r="P28" s="2"/>
      <c r="Q28" s="2" t="s">
        <v>101</v>
      </c>
      <c r="R28" s="2"/>
      <c r="S28" s="2"/>
      <c r="T28" s="2"/>
      <c r="U28" s="2"/>
      <c r="V28" s="2"/>
      <c r="W28" s="2"/>
      <c r="X28" s="2"/>
      <c r="Y28" s="2" t="s">
        <v>47</v>
      </c>
    </row>
    <row r="29" spans="1:25" ht="25.5" x14ac:dyDescent="0.2">
      <c r="A29" s="5" t="s">
        <v>86</v>
      </c>
      <c r="B29" t="str">
        <f>HYPERLINK("https://www.onsemi.com/PowerSolutions/product.do?id=LA6585MC","LA6585MC")</f>
        <v>LA6585MC</v>
      </c>
      <c r="C29" t="str">
        <f>HYPERLINK("https://www.onsemi.com/pub/Collateral/LA6585MC-D.PDF","LA6585MC/D (116kB)")</f>
        <v>LA6585MC/D (116kB)</v>
      </c>
      <c r="D29" t="s">
        <v>109</v>
      </c>
      <c r="E29" s="2" t="s">
        <v>27</v>
      </c>
      <c r="F29" t="s">
        <v>28</v>
      </c>
      <c r="G29" s="2" t="s">
        <v>33</v>
      </c>
      <c r="H29" s="2"/>
      <c r="I29" s="2" t="s">
        <v>29</v>
      </c>
      <c r="J29" s="2" t="s">
        <v>104</v>
      </c>
      <c r="K29" s="2" t="s">
        <v>29</v>
      </c>
      <c r="L29" s="2" t="s">
        <v>104</v>
      </c>
      <c r="M29" s="2"/>
      <c r="N29" s="2" t="s">
        <v>110</v>
      </c>
      <c r="O29" t="s">
        <v>32</v>
      </c>
      <c r="Q29" s="2" t="s">
        <v>101</v>
      </c>
      <c r="R29" s="2"/>
      <c r="S29" s="2"/>
      <c r="T29" s="2"/>
      <c r="U29" s="2"/>
      <c r="V29" s="2"/>
      <c r="W29" s="2"/>
      <c r="X29" s="2"/>
      <c r="Y29" s="2" t="s">
        <v>35</v>
      </c>
    </row>
    <row r="30" spans="1:25" ht="25.5" x14ac:dyDescent="0.2">
      <c r="A30" s="5" t="s">
        <v>86</v>
      </c>
      <c r="B30" t="str">
        <f>HYPERLINK("https://www.onsemi.com/PowerSolutions/product.do?id=LA6586FA","LA6586FA")</f>
        <v>LA6586FA</v>
      </c>
      <c r="C30" t="str">
        <f>HYPERLINK("https://www.onsemi.com/pub/Collateral/ENA2043-D.PDF","ENA2043/D (82.0kB)")</f>
        <v>ENA2043/D (82.0kB)</v>
      </c>
      <c r="D30" t="s">
        <v>102</v>
      </c>
      <c r="E30" s="2" t="s">
        <v>27</v>
      </c>
      <c r="F30" t="s">
        <v>28</v>
      </c>
      <c r="G30" s="2" t="s">
        <v>33</v>
      </c>
      <c r="H30" s="2"/>
      <c r="I30" s="2" t="s">
        <v>29</v>
      </c>
      <c r="J30" s="2" t="s">
        <v>104</v>
      </c>
      <c r="K30" s="2" t="s">
        <v>29</v>
      </c>
      <c r="L30" s="2" t="s">
        <v>104</v>
      </c>
      <c r="M30" s="2"/>
      <c r="N30" s="2" t="s">
        <v>111</v>
      </c>
      <c r="O30" t="s">
        <v>32</v>
      </c>
      <c r="Q30" s="2" t="s">
        <v>101</v>
      </c>
      <c r="R30" s="2"/>
      <c r="S30" s="2"/>
      <c r="T30" s="2"/>
      <c r="U30" s="2"/>
      <c r="V30" s="2"/>
      <c r="W30" s="2"/>
      <c r="X30" s="2"/>
      <c r="Y30" s="2" t="s">
        <v>112</v>
      </c>
    </row>
    <row r="31" spans="1:25" ht="25.5" x14ac:dyDescent="0.2">
      <c r="A31" s="5" t="s">
        <v>86</v>
      </c>
      <c r="B31" t="str">
        <f>HYPERLINK("https://www.onsemi.com/PowerSolutions/product.do?id=LA6588MC","LA6588MC")</f>
        <v>LA6588MC</v>
      </c>
      <c r="C31" t="str">
        <f>HYPERLINK("https://www.onsemi.com/pub/Collateral/LA6588MC-D.PDF","LA6588MC/D (115kB)")</f>
        <v>LA6588MC/D (115kB)</v>
      </c>
      <c r="D31" t="s">
        <v>113</v>
      </c>
      <c r="E31" s="2" t="s">
        <v>27</v>
      </c>
      <c r="F31" t="s">
        <v>28</v>
      </c>
      <c r="G31" s="2" t="s">
        <v>33</v>
      </c>
      <c r="H31" s="2"/>
      <c r="I31" s="2" t="s">
        <v>81</v>
      </c>
      <c r="J31" s="2" t="s">
        <v>114</v>
      </c>
      <c r="K31" s="2" t="s">
        <v>81</v>
      </c>
      <c r="L31" s="2" t="s">
        <v>114</v>
      </c>
      <c r="M31" s="2"/>
      <c r="N31" s="2" t="s">
        <v>26</v>
      </c>
      <c r="O31" t="s">
        <v>32</v>
      </c>
      <c r="Q31" s="2" t="s">
        <v>101</v>
      </c>
      <c r="R31" s="2"/>
      <c r="S31" s="2"/>
      <c r="T31" s="2"/>
      <c r="U31" s="2"/>
      <c r="V31" s="2"/>
      <c r="W31" s="2"/>
      <c r="X31" s="2"/>
      <c r="Y31" s="2" t="s">
        <v>105</v>
      </c>
    </row>
    <row r="32" spans="1:25" ht="25.5" x14ac:dyDescent="0.2">
      <c r="A32" s="5" t="s">
        <v>86</v>
      </c>
      <c r="B32" t="str">
        <f>HYPERLINK("https://www.onsemi.com/PowerSolutions/product.do?id=LA6597FMC","LA6597FMC")</f>
        <v>LA6597FMC</v>
      </c>
      <c r="C32" t="str">
        <f>HYPERLINK("https://www.onsemi.com/pub/Collateral/ENA2073-D.PDF","ENA2073/D (275.0kB)")</f>
        <v>ENA2073/D (275.0kB)</v>
      </c>
      <c r="D32" t="s">
        <v>115</v>
      </c>
      <c r="E32" s="2" t="s">
        <v>27</v>
      </c>
      <c r="F32" t="s">
        <v>28</v>
      </c>
      <c r="G32" s="2" t="s">
        <v>33</v>
      </c>
      <c r="H32" s="2"/>
      <c r="I32" s="2" t="s">
        <v>29</v>
      </c>
      <c r="J32" s="2" t="s">
        <v>104</v>
      </c>
      <c r="K32" s="2" t="s">
        <v>29</v>
      </c>
      <c r="L32" s="2" t="s">
        <v>104</v>
      </c>
      <c r="M32" s="2"/>
      <c r="N32" t="s">
        <v>32</v>
      </c>
      <c r="O32" s="2" t="s">
        <v>33</v>
      </c>
      <c r="P32" s="2"/>
      <c r="Q32" s="2" t="s">
        <v>101</v>
      </c>
      <c r="R32" s="2"/>
      <c r="S32" s="2"/>
      <c r="T32" s="2"/>
      <c r="U32" s="2"/>
      <c r="V32" s="2"/>
      <c r="W32" s="2"/>
      <c r="X32" s="2"/>
      <c r="Y32" s="2" t="s">
        <v>35</v>
      </c>
    </row>
    <row r="33" spans="1:25" ht="25.5" x14ac:dyDescent="0.2">
      <c r="A33" s="5" t="s">
        <v>86</v>
      </c>
      <c r="B33" t="str">
        <f>HYPERLINK("https://www.onsemi.com/PowerSolutions/product.do?id=LB11620GP","LB11620GP")</f>
        <v>LB11620GP</v>
      </c>
      <c r="C33" t="str">
        <f>HYPERLINK("https://www.onsemi.com/pub/Collateral/LB11620GP-D.PDF","LB11620GP/D (331kB)")</f>
        <v>LB11620GP/D (331kB)</v>
      </c>
      <c r="D33" t="s">
        <v>116</v>
      </c>
      <c r="E33" s="2" t="s">
        <v>27</v>
      </c>
      <c r="F33" t="s">
        <v>28</v>
      </c>
      <c r="G33" s="2" t="s">
        <v>37</v>
      </c>
      <c r="H33" s="2"/>
      <c r="I33" t="s">
        <v>32</v>
      </c>
      <c r="J33" t="s">
        <v>32</v>
      </c>
      <c r="K33" s="2" t="s">
        <v>81</v>
      </c>
      <c r="L33" s="2" t="s">
        <v>117</v>
      </c>
      <c r="M33" s="2"/>
      <c r="N33" s="2" t="s">
        <v>118</v>
      </c>
      <c r="O33" t="s">
        <v>32</v>
      </c>
      <c r="Q33" s="2" t="s">
        <v>77</v>
      </c>
      <c r="R33" s="2"/>
      <c r="S33" s="2"/>
      <c r="T33" s="2"/>
      <c r="U33" s="2"/>
      <c r="V33" s="2"/>
      <c r="W33" s="2"/>
      <c r="X33" s="2"/>
      <c r="Y33" s="2" t="s">
        <v>119</v>
      </c>
    </row>
    <row r="34" spans="1:25" ht="25.5" x14ac:dyDescent="0.2">
      <c r="A34" s="5" t="s">
        <v>86</v>
      </c>
      <c r="B34" t="str">
        <f>HYPERLINK("https://www.onsemi.com/PowerSolutions/product.do?id=LB11620T","LB11620T")</f>
        <v>LB11620T</v>
      </c>
      <c r="C34" t="str">
        <f>HYPERLINK("https://www.onsemi.com/pub/Collateral/ENA0662-D.PDF","ENA0662/D (148.0kB)")</f>
        <v>ENA0662/D (148.0kB)</v>
      </c>
      <c r="D34" t="s">
        <v>116</v>
      </c>
      <c r="E34" s="2" t="s">
        <v>27</v>
      </c>
      <c r="F34" t="s">
        <v>28</v>
      </c>
      <c r="G34" s="2" t="s">
        <v>37</v>
      </c>
      <c r="H34" s="2"/>
      <c r="I34" t="s">
        <v>32</v>
      </c>
      <c r="J34" t="s">
        <v>32</v>
      </c>
      <c r="K34" s="2" t="s">
        <v>81</v>
      </c>
      <c r="L34" s="2" t="s">
        <v>120</v>
      </c>
      <c r="M34" s="2"/>
      <c r="N34" s="2" t="s">
        <v>121</v>
      </c>
      <c r="O34" s="2" t="s">
        <v>118</v>
      </c>
      <c r="P34" s="2"/>
      <c r="Q34" s="2" t="s">
        <v>77</v>
      </c>
      <c r="R34" s="2"/>
      <c r="S34" s="2"/>
      <c r="T34" s="2"/>
      <c r="U34" s="2"/>
      <c r="V34" s="2"/>
      <c r="W34" s="2"/>
      <c r="X34" s="2"/>
      <c r="Y34" s="2" t="s">
        <v>122</v>
      </c>
    </row>
    <row r="35" spans="1:25" ht="25.5" x14ac:dyDescent="0.2">
      <c r="A35" s="5" t="s">
        <v>86</v>
      </c>
      <c r="B35" t="str">
        <f>HYPERLINK("https://www.onsemi.com/PowerSolutions/product.do?id=LB11660FV","LB11660FV")</f>
        <v>LB11660FV</v>
      </c>
      <c r="C35" t="str">
        <f>HYPERLINK("https://www.onsemi.com/pub/Collateral/LB11660FV-D.PDF","LB11660FV/D (207kB)")</f>
        <v>LB11660FV/D (207kB)</v>
      </c>
      <c r="D35" t="s">
        <v>123</v>
      </c>
      <c r="E35" s="2" t="s">
        <v>27</v>
      </c>
      <c r="F35" t="s">
        <v>28</v>
      </c>
      <c r="G35" s="2" t="s">
        <v>33</v>
      </c>
      <c r="H35" s="2"/>
      <c r="I35" s="2" t="s">
        <v>55</v>
      </c>
      <c r="J35" s="2" t="s">
        <v>124</v>
      </c>
      <c r="K35" s="2" t="s">
        <v>55</v>
      </c>
      <c r="L35" s="2" t="s">
        <v>124</v>
      </c>
      <c r="M35" s="2"/>
      <c r="N35" s="2" t="s">
        <v>125</v>
      </c>
      <c r="O35" t="s">
        <v>32</v>
      </c>
      <c r="Q35" s="2" t="s">
        <v>101</v>
      </c>
      <c r="R35" s="2"/>
      <c r="S35" s="2"/>
      <c r="T35" s="2"/>
      <c r="U35" s="2"/>
      <c r="V35" s="2"/>
      <c r="W35" s="2"/>
      <c r="X35" s="2"/>
      <c r="Y35" s="2" t="s">
        <v>126</v>
      </c>
    </row>
    <row r="36" spans="1:25" ht="25.5" x14ac:dyDescent="0.2">
      <c r="A36" s="5" t="s">
        <v>86</v>
      </c>
      <c r="B36" t="str">
        <f>HYPERLINK("https://www.onsemi.com/PowerSolutions/product.do?id=LB11660RV","LB11660RV")</f>
        <v>LB11660RV</v>
      </c>
      <c r="C36" t="str">
        <f>HYPERLINK("https://www.onsemi.com/pub/Collateral/LB11660RV-D.PDF","LB11660RV/D (196kB)")</f>
        <v>LB11660RV/D (196kB)</v>
      </c>
      <c r="D36" t="s">
        <v>127</v>
      </c>
      <c r="E36" s="2" t="s">
        <v>27</v>
      </c>
      <c r="F36" t="s">
        <v>28</v>
      </c>
      <c r="G36" s="2" t="s">
        <v>33</v>
      </c>
      <c r="H36" s="2"/>
      <c r="I36" s="2" t="s">
        <v>37</v>
      </c>
      <c r="J36" s="2" t="s">
        <v>124</v>
      </c>
      <c r="K36" s="2" t="s">
        <v>55</v>
      </c>
      <c r="L36" s="2" t="s">
        <v>124</v>
      </c>
      <c r="M36" s="2"/>
      <c r="N36" s="2" t="s">
        <v>125</v>
      </c>
      <c r="O36" t="s">
        <v>32</v>
      </c>
      <c r="Q36" s="2" t="s">
        <v>101</v>
      </c>
      <c r="R36" s="2"/>
      <c r="S36" s="2"/>
      <c r="T36" s="2"/>
      <c r="U36" s="2"/>
      <c r="V36" s="2"/>
      <c r="W36" s="2"/>
      <c r="X36" s="2"/>
      <c r="Y36" s="2" t="s">
        <v>126</v>
      </c>
    </row>
    <row r="37" spans="1:25" ht="25.5" x14ac:dyDescent="0.2">
      <c r="A37" s="5" t="s">
        <v>86</v>
      </c>
      <c r="B37" t="str">
        <f>HYPERLINK("https://www.onsemi.com/PowerSolutions/product.do?id=LB11685AV","LB11685AV")</f>
        <v>LB11685AV</v>
      </c>
      <c r="C37" t="str">
        <f>HYPERLINK("https://www.onsemi.com/pub/Collateral/LB11685AV-D.PDF","LB11685AV/D (114kB)")</f>
        <v>LB11685AV/D (114kB)</v>
      </c>
      <c r="D37" t="s">
        <v>128</v>
      </c>
      <c r="E37" s="2" t="s">
        <v>27</v>
      </c>
      <c r="F37" t="s">
        <v>28</v>
      </c>
      <c r="G37" s="2" t="s">
        <v>37</v>
      </c>
      <c r="H37" s="2"/>
      <c r="I37" s="2" t="s">
        <v>129</v>
      </c>
      <c r="J37" s="2" t="s">
        <v>117</v>
      </c>
      <c r="K37" s="2" t="s">
        <v>129</v>
      </c>
      <c r="L37" s="2" t="s">
        <v>117</v>
      </c>
      <c r="M37" s="2"/>
      <c r="N37" t="s">
        <v>32</v>
      </c>
      <c r="O37" s="2" t="s">
        <v>62</v>
      </c>
      <c r="P37" s="2"/>
      <c r="Q37" s="2" t="s">
        <v>101</v>
      </c>
      <c r="R37" s="2"/>
      <c r="S37" s="2"/>
      <c r="T37" s="2"/>
      <c r="U37" s="2"/>
      <c r="V37" s="2"/>
      <c r="W37" s="2"/>
      <c r="X37" s="2"/>
      <c r="Y37" s="2" t="s">
        <v>130</v>
      </c>
    </row>
    <row r="38" spans="1:25" ht="25.5" x14ac:dyDescent="0.2">
      <c r="A38" s="5" t="s">
        <v>86</v>
      </c>
      <c r="B38" t="str">
        <f>HYPERLINK("https://www.onsemi.com/PowerSolutions/product.do?id=LB11696V","LB11696V")</f>
        <v>LB11696V</v>
      </c>
      <c r="C38" t="str">
        <f>HYPERLINK("https://www.onsemi.com/pub/Collateral/LB11696V-D.PDF","LB11696V/D (500kB)")</f>
        <v>LB11696V/D (500kB)</v>
      </c>
      <c r="D38" t="s">
        <v>131</v>
      </c>
      <c r="E38" s="2" t="s">
        <v>27</v>
      </c>
      <c r="F38" t="s">
        <v>28</v>
      </c>
      <c r="G38" s="2" t="s">
        <v>37</v>
      </c>
      <c r="H38" s="2"/>
      <c r="I38" t="s">
        <v>32</v>
      </c>
      <c r="J38" t="s">
        <v>32</v>
      </c>
      <c r="K38" s="2" t="s">
        <v>129</v>
      </c>
      <c r="L38" s="2" t="s">
        <v>120</v>
      </c>
      <c r="M38" s="2"/>
      <c r="N38" s="2" t="s">
        <v>118</v>
      </c>
      <c r="O38" t="s">
        <v>32</v>
      </c>
      <c r="Q38" s="2" t="s">
        <v>132</v>
      </c>
      <c r="R38" s="2"/>
      <c r="S38" s="2"/>
      <c r="T38" s="2"/>
      <c r="U38" s="2"/>
      <c r="V38" s="2"/>
      <c r="W38" s="2"/>
      <c r="X38" s="2"/>
      <c r="Y38" s="2" t="s">
        <v>133</v>
      </c>
    </row>
    <row r="39" spans="1:25" ht="25.5" x14ac:dyDescent="0.2">
      <c r="A39" s="5" t="s">
        <v>86</v>
      </c>
      <c r="B39" t="str">
        <f>HYPERLINK("https://www.onsemi.com/PowerSolutions/product.do?id=LB11850VA","LB11850VA")</f>
        <v>LB11850VA</v>
      </c>
      <c r="C39" t="str">
        <f>HYPERLINK("https://www.onsemi.com/pub/Collateral/LB11850VA-D.PDF","LB11850VA/D (161kB)")</f>
        <v>LB11850VA/D (161kB)</v>
      </c>
      <c r="D39" t="s">
        <v>134</v>
      </c>
      <c r="E39" s="2" t="s">
        <v>27</v>
      </c>
      <c r="F39" t="s">
        <v>28</v>
      </c>
      <c r="G39" s="2" t="s">
        <v>33</v>
      </c>
      <c r="H39" s="2"/>
      <c r="I39" t="s">
        <v>32</v>
      </c>
      <c r="J39" t="s">
        <v>32</v>
      </c>
      <c r="K39" s="2" t="s">
        <v>17</v>
      </c>
      <c r="L39" s="2" t="s">
        <v>117</v>
      </c>
      <c r="M39" s="2"/>
      <c r="N39" s="2" t="s">
        <v>135</v>
      </c>
      <c r="O39" t="s">
        <v>32</v>
      </c>
      <c r="Q39" s="2" t="s">
        <v>132</v>
      </c>
      <c r="R39" s="2"/>
      <c r="S39" s="2"/>
      <c r="T39" s="2"/>
      <c r="U39" s="2"/>
      <c r="V39" s="2"/>
      <c r="W39" s="2"/>
      <c r="X39" s="2"/>
      <c r="Y39" s="2" t="s">
        <v>67</v>
      </c>
    </row>
    <row r="40" spans="1:25" ht="25.5" x14ac:dyDescent="0.2">
      <c r="A40" s="5" t="s">
        <v>86</v>
      </c>
      <c r="B40" t="str">
        <f>HYPERLINK("https://www.onsemi.com/PowerSolutions/product.do?id=LB11851FA","LB11851FA")</f>
        <v>LB11851FA</v>
      </c>
      <c r="C40" t="str">
        <f>HYPERLINK("https://www.onsemi.com/pub/Collateral/ENA2092-D.PDF","ENA2092/D (202.0kB)")</f>
        <v>ENA2092/D (202.0kB)</v>
      </c>
      <c r="D40" t="s">
        <v>136</v>
      </c>
      <c r="E40" s="2" t="s">
        <v>27</v>
      </c>
      <c r="F40" t="s">
        <v>28</v>
      </c>
      <c r="G40" s="2" t="s">
        <v>33</v>
      </c>
      <c r="H40" s="2"/>
      <c r="I40" t="s">
        <v>32</v>
      </c>
      <c r="J40" t="s">
        <v>32</v>
      </c>
      <c r="K40" s="2" t="s">
        <v>57</v>
      </c>
      <c r="L40" s="2" t="s">
        <v>99</v>
      </c>
      <c r="M40" s="2"/>
      <c r="N40" t="s">
        <v>32</v>
      </c>
      <c r="O40" s="2" t="s">
        <v>135</v>
      </c>
      <c r="P40" s="2"/>
      <c r="Q40" s="2" t="s">
        <v>77</v>
      </c>
      <c r="R40" s="2"/>
      <c r="S40" s="2"/>
      <c r="T40" s="2"/>
      <c r="U40" s="2"/>
      <c r="V40" s="2"/>
      <c r="W40" s="2"/>
      <c r="X40" s="2"/>
      <c r="Y40" s="2" t="s">
        <v>112</v>
      </c>
    </row>
    <row r="41" spans="1:25" ht="25.5" x14ac:dyDescent="0.2">
      <c r="A41" s="5" t="s">
        <v>86</v>
      </c>
      <c r="B41" t="str">
        <f>HYPERLINK("https://www.onsemi.com/PowerSolutions/product.do?id=LB11851MC","LB11851MC")</f>
        <v>LB11851MC</v>
      </c>
      <c r="C41" t="str">
        <f>HYPERLINK("https://www.onsemi.com/pub/Collateral/ENA2091-D.PDF","ENA2091/D (175.0kB)")</f>
        <v>ENA2091/D (175.0kB)</v>
      </c>
      <c r="D41" t="s">
        <v>136</v>
      </c>
      <c r="E41" s="2" t="s">
        <v>27</v>
      </c>
      <c r="F41" t="s">
        <v>28</v>
      </c>
      <c r="G41" s="2" t="s">
        <v>33</v>
      </c>
      <c r="H41" s="2"/>
      <c r="I41" t="s">
        <v>32</v>
      </c>
      <c r="J41" t="s">
        <v>32</v>
      </c>
      <c r="K41" s="2" t="s">
        <v>57</v>
      </c>
      <c r="L41" s="2" t="s">
        <v>99</v>
      </c>
      <c r="M41" s="2"/>
      <c r="N41" t="s">
        <v>32</v>
      </c>
      <c r="O41" s="2" t="s">
        <v>135</v>
      </c>
      <c r="P41" s="2"/>
      <c r="Q41" s="2" t="s">
        <v>77</v>
      </c>
      <c r="R41" s="2"/>
      <c r="S41" s="2"/>
      <c r="T41" s="2"/>
      <c r="U41" s="2"/>
      <c r="V41" s="2"/>
      <c r="W41" s="2"/>
      <c r="X41" s="2"/>
      <c r="Y41" s="2" t="s">
        <v>35</v>
      </c>
    </row>
    <row r="42" spans="1:25" ht="25.5" x14ac:dyDescent="0.2">
      <c r="A42" s="5" t="s">
        <v>86</v>
      </c>
      <c r="B42" t="str">
        <f>HYPERLINK("https://www.onsemi.com/PowerSolutions/product.do?id=LB11852FV","LB11852FV")</f>
        <v>LB11852FV</v>
      </c>
      <c r="C42" t="str">
        <f>HYPERLINK("https://www.onsemi.com/pub/Collateral/LB11852FV-D.PDF","LB11852FV/D (290kB)")</f>
        <v>LB11852FV/D (290kB)</v>
      </c>
      <c r="D42" t="s">
        <v>134</v>
      </c>
      <c r="E42" s="2" t="s">
        <v>27</v>
      </c>
      <c r="F42" t="s">
        <v>28</v>
      </c>
      <c r="G42" s="2" t="s">
        <v>33</v>
      </c>
      <c r="H42" s="2"/>
      <c r="I42" t="s">
        <v>32</v>
      </c>
      <c r="J42" t="s">
        <v>32</v>
      </c>
      <c r="K42" s="2" t="s">
        <v>17</v>
      </c>
      <c r="L42" s="2" t="s">
        <v>99</v>
      </c>
      <c r="M42" s="2"/>
      <c r="N42" s="2" t="s">
        <v>135</v>
      </c>
      <c r="O42" t="s">
        <v>32</v>
      </c>
      <c r="Q42" s="2" t="s">
        <v>101</v>
      </c>
      <c r="R42" s="2"/>
      <c r="S42" s="2"/>
      <c r="T42" s="2"/>
      <c r="U42" s="2"/>
      <c r="V42" s="2"/>
      <c r="W42" s="2"/>
      <c r="X42" s="2"/>
      <c r="Y42" s="2" t="s">
        <v>137</v>
      </c>
    </row>
    <row r="43" spans="1:25" ht="25.5" x14ac:dyDescent="0.2">
      <c r="A43" s="5" t="s">
        <v>86</v>
      </c>
      <c r="B43" t="str">
        <f>HYPERLINK("https://www.onsemi.com/PowerSolutions/product.do?id=LB11867FV","LB11867FV")</f>
        <v>LB11867FV</v>
      </c>
      <c r="C43" t="str">
        <f>HYPERLINK("https://www.onsemi.com/pub/Collateral/LB11867FV-D.PDF","LB11867FV/D (193kB)")</f>
        <v>LB11867FV/D (193kB)</v>
      </c>
      <c r="D43" t="s">
        <v>138</v>
      </c>
      <c r="E43" s="2" t="s">
        <v>27</v>
      </c>
      <c r="F43" t="s">
        <v>28</v>
      </c>
      <c r="G43" s="2" t="s">
        <v>33</v>
      </c>
      <c r="H43" s="2"/>
      <c r="I43" t="s">
        <v>32</v>
      </c>
      <c r="J43" t="s">
        <v>32</v>
      </c>
      <c r="K43" s="2" t="s">
        <v>17</v>
      </c>
      <c r="L43" s="2" t="s">
        <v>99</v>
      </c>
      <c r="M43" s="2"/>
      <c r="N43" s="2" t="s">
        <v>135</v>
      </c>
      <c r="O43" t="s">
        <v>32</v>
      </c>
      <c r="Q43" s="2" t="s">
        <v>77</v>
      </c>
      <c r="R43" s="2"/>
      <c r="S43" s="2"/>
      <c r="T43" s="2"/>
      <c r="U43" s="2"/>
      <c r="V43" s="2"/>
      <c r="W43" s="2"/>
      <c r="X43" s="2"/>
      <c r="Y43" s="2" t="s">
        <v>126</v>
      </c>
    </row>
    <row r="44" spans="1:25" ht="25.5" x14ac:dyDescent="0.2">
      <c r="A44" s="5" t="s">
        <v>86</v>
      </c>
      <c r="B44" t="str">
        <f>HYPERLINK("https://www.onsemi.com/PowerSolutions/product.do?id=LB11867RV","LB11867RV")</f>
        <v>LB11867RV</v>
      </c>
      <c r="C44" t="str">
        <f>HYPERLINK("https://www.onsemi.com/pub/Collateral/LB11867RV-D.PDF","LB11867RV/D (202kB)")</f>
        <v>LB11867RV/D (202kB)</v>
      </c>
      <c r="D44" t="s">
        <v>139</v>
      </c>
      <c r="E44" s="2" t="s">
        <v>27</v>
      </c>
      <c r="F44" t="s">
        <v>28</v>
      </c>
      <c r="G44" s="2" t="s">
        <v>33</v>
      </c>
      <c r="H44" s="2"/>
      <c r="I44" t="s">
        <v>32</v>
      </c>
      <c r="J44" t="s">
        <v>32</v>
      </c>
      <c r="K44" s="2" t="s">
        <v>17</v>
      </c>
      <c r="L44" s="2" t="s">
        <v>99</v>
      </c>
      <c r="M44" s="2"/>
      <c r="N44" s="2" t="s">
        <v>135</v>
      </c>
      <c r="O44" t="s">
        <v>32</v>
      </c>
      <c r="Q44" s="2" t="s">
        <v>77</v>
      </c>
      <c r="R44" s="2"/>
      <c r="S44" s="2"/>
      <c r="T44" s="2"/>
      <c r="U44" s="2"/>
      <c r="V44" s="2"/>
      <c r="W44" s="2"/>
      <c r="X44" s="2"/>
      <c r="Y44" s="2" t="s">
        <v>126</v>
      </c>
    </row>
    <row r="45" spans="1:25" ht="25.5" x14ac:dyDescent="0.2">
      <c r="A45" s="5" t="s">
        <v>86</v>
      </c>
      <c r="B45" t="str">
        <f>HYPERLINK("https://www.onsemi.com/PowerSolutions/product.do?id=LB11868V","LB11868V")</f>
        <v>LB11868V</v>
      </c>
      <c r="C45" t="str">
        <f>HYPERLINK("https://www.onsemi.com/pub/Collateral/LB11868V-D.PDF","LB11868V/D (192kB)")</f>
        <v>LB11868V/D (192kB)</v>
      </c>
      <c r="D45" t="s">
        <v>140</v>
      </c>
      <c r="E45" s="2" t="s">
        <v>27</v>
      </c>
      <c r="F45" t="s">
        <v>28</v>
      </c>
      <c r="G45" s="2" t="s">
        <v>33</v>
      </c>
      <c r="H45" s="2"/>
      <c r="I45" t="s">
        <v>32</v>
      </c>
      <c r="J45" t="s">
        <v>32</v>
      </c>
      <c r="K45" s="2" t="s">
        <v>55</v>
      </c>
      <c r="L45" s="2" t="s">
        <v>99</v>
      </c>
      <c r="M45" s="2"/>
      <c r="N45" s="2" t="s">
        <v>118</v>
      </c>
      <c r="O45" t="s">
        <v>32</v>
      </c>
      <c r="Q45" s="2" t="s">
        <v>77</v>
      </c>
      <c r="R45" s="2"/>
      <c r="S45" s="2"/>
      <c r="T45" s="2"/>
      <c r="U45" s="2"/>
      <c r="V45" s="2"/>
      <c r="W45" s="2"/>
      <c r="X45" s="2"/>
      <c r="Y45" s="2" t="s">
        <v>137</v>
      </c>
    </row>
    <row r="46" spans="1:25" x14ac:dyDescent="0.2">
      <c r="A46" s="5" t="s">
        <v>86</v>
      </c>
      <c r="B46" t="str">
        <f>HYPERLINK("https://www.onsemi.com/PowerSolutions/product.do?id=LB11870","LB11870")</f>
        <v>LB11870</v>
      </c>
      <c r="C46" t="str">
        <f>HYPERLINK("https://www.onsemi.com/pub/Collateral/EN7256-D.PDF","EN7256/D (191.0kB)")</f>
        <v>EN7256/D (191.0kB)</v>
      </c>
      <c r="D46" t="s">
        <v>141</v>
      </c>
      <c r="E46" s="2" t="s">
        <v>40</v>
      </c>
      <c r="F46" t="s">
        <v>28</v>
      </c>
      <c r="G46" s="2" t="s">
        <v>37</v>
      </c>
      <c r="H46" s="2"/>
      <c r="I46" s="2" t="s">
        <v>142</v>
      </c>
      <c r="J46" s="2" t="s">
        <v>143</v>
      </c>
      <c r="K46" s="2" t="s">
        <v>142</v>
      </c>
      <c r="L46" s="2" t="s">
        <v>143</v>
      </c>
      <c r="M46" s="2"/>
      <c r="N46" t="s">
        <v>32</v>
      </c>
      <c r="O46" s="2" t="s">
        <v>144</v>
      </c>
      <c r="P46" s="2"/>
      <c r="Q46" s="2" t="s">
        <v>77</v>
      </c>
      <c r="R46" s="2"/>
      <c r="S46" s="2"/>
      <c r="T46" s="2"/>
      <c r="U46" s="2"/>
      <c r="V46" s="2"/>
      <c r="W46" s="2"/>
      <c r="X46" s="2"/>
      <c r="Y46" s="2" t="s">
        <v>145</v>
      </c>
    </row>
    <row r="47" spans="1:25" ht="25.5" x14ac:dyDescent="0.2">
      <c r="A47" s="5" t="s">
        <v>86</v>
      </c>
      <c r="B47" t="str">
        <f>HYPERLINK("https://www.onsemi.com/PowerSolutions/product.do?id=LB11876","LB11876")</f>
        <v>LB11876</v>
      </c>
      <c r="C47" t="str">
        <f>HYPERLINK("https://www.onsemi.com/pub/Collateral/EN8317-D.PDF","EN8317/D (166.0kB)")</f>
        <v>EN8317/D (166.0kB)</v>
      </c>
      <c r="D47" t="s">
        <v>146</v>
      </c>
      <c r="E47" s="2" t="s">
        <v>27</v>
      </c>
      <c r="F47" t="s">
        <v>28</v>
      </c>
      <c r="G47" s="2" t="s">
        <v>37</v>
      </c>
      <c r="H47" s="2"/>
      <c r="I47" t="s">
        <v>32</v>
      </c>
      <c r="J47" t="s">
        <v>32</v>
      </c>
      <c r="K47" s="2" t="s">
        <v>81</v>
      </c>
      <c r="L47" s="2" t="s">
        <v>120</v>
      </c>
      <c r="M47" s="2"/>
      <c r="N47" s="2" t="s">
        <v>118</v>
      </c>
      <c r="O47" t="s">
        <v>32</v>
      </c>
      <c r="Q47" s="2" t="s">
        <v>147</v>
      </c>
      <c r="R47" s="2"/>
      <c r="S47" s="2"/>
      <c r="T47" s="2"/>
      <c r="U47" s="2"/>
      <c r="V47" s="2"/>
      <c r="W47" s="2"/>
      <c r="X47" s="2"/>
      <c r="Y47" s="2" t="s">
        <v>148</v>
      </c>
    </row>
    <row r="48" spans="1:25" x14ac:dyDescent="0.2">
      <c r="A48" s="5" t="s">
        <v>86</v>
      </c>
      <c r="B48" t="str">
        <f>HYPERLINK("https://www.onsemi.com/PowerSolutions/product.do?id=LB11921T","LB11921T")</f>
        <v>LB11921T</v>
      </c>
      <c r="C48" t="str">
        <f>HYPERLINK("https://www.onsemi.com/pub/Collateral/ENA0604-D.PDF","ENA0604/D (225.0kB)")</f>
        <v>ENA0604/D (225.0kB)</v>
      </c>
      <c r="D48" t="s">
        <v>149</v>
      </c>
      <c r="E48" s="2" t="s">
        <v>40</v>
      </c>
      <c r="F48" t="s">
        <v>28</v>
      </c>
      <c r="G48" s="2" t="s">
        <v>37</v>
      </c>
      <c r="H48" s="2"/>
      <c r="I48" t="s">
        <v>32</v>
      </c>
      <c r="J48" t="s">
        <v>32</v>
      </c>
      <c r="K48" s="2" t="s">
        <v>150</v>
      </c>
      <c r="L48" s="2" t="s">
        <v>81</v>
      </c>
      <c r="M48" s="2"/>
      <c r="N48" s="2" t="s">
        <v>151</v>
      </c>
      <c r="O48" t="s">
        <v>32</v>
      </c>
      <c r="Q48" s="2" t="s">
        <v>147</v>
      </c>
      <c r="R48" s="2"/>
      <c r="S48" s="2"/>
      <c r="T48" s="2"/>
      <c r="U48" s="2"/>
      <c r="V48" s="2"/>
      <c r="W48" s="2"/>
      <c r="X48" s="2"/>
      <c r="Y48" s="2" t="s">
        <v>152</v>
      </c>
    </row>
    <row r="49" spans="1:25" ht="25.5" x14ac:dyDescent="0.2">
      <c r="A49" s="5" t="s">
        <v>86</v>
      </c>
      <c r="B49" t="str">
        <f>HYPERLINK("https://www.onsemi.com/PowerSolutions/product.do?id=LB11923V","LB11923V")</f>
        <v>LB11923V</v>
      </c>
      <c r="C49" t="str">
        <f>HYPERLINK("https://www.onsemi.com/pub/Collateral/LB11923V-D.PDF","LB11923V/D (217kB)")</f>
        <v>LB11923V/D (217kB)</v>
      </c>
      <c r="D49" t="s">
        <v>149</v>
      </c>
      <c r="E49" s="2" t="s">
        <v>27</v>
      </c>
      <c r="F49" t="s">
        <v>28</v>
      </c>
      <c r="G49" s="2" t="s">
        <v>37</v>
      </c>
      <c r="H49" s="2"/>
      <c r="I49" t="s">
        <v>32</v>
      </c>
      <c r="J49" t="s">
        <v>32</v>
      </c>
      <c r="K49" s="2" t="s">
        <v>150</v>
      </c>
      <c r="L49" s="2" t="s">
        <v>81</v>
      </c>
      <c r="M49" s="2"/>
      <c r="N49" s="2" t="s">
        <v>118</v>
      </c>
      <c r="O49" t="s">
        <v>32</v>
      </c>
      <c r="Q49" s="2" t="s">
        <v>147</v>
      </c>
      <c r="R49" s="2"/>
      <c r="S49" s="2"/>
      <c r="T49" s="2"/>
      <c r="U49" s="2"/>
      <c r="V49" s="2"/>
      <c r="W49" s="2"/>
      <c r="X49" s="2"/>
      <c r="Y49" s="2" t="s">
        <v>153</v>
      </c>
    </row>
    <row r="50" spans="1:25" ht="25.5" x14ac:dyDescent="0.2">
      <c r="A50" s="5" t="s">
        <v>86</v>
      </c>
      <c r="B50" t="str">
        <f>HYPERLINK("https://www.onsemi.com/PowerSolutions/product.do?id=LB11961","LB11961")</f>
        <v>LB11961</v>
      </c>
      <c r="C50" t="str">
        <f>HYPERLINK("https://www.onsemi.com/pub/Collateral/LB11961-D.PDF","LB11961/D (234kB)")</f>
        <v>LB11961/D (234kB)</v>
      </c>
      <c r="D50" t="s">
        <v>115</v>
      </c>
      <c r="E50" s="2" t="s">
        <v>27</v>
      </c>
      <c r="F50" t="s">
        <v>28</v>
      </c>
      <c r="G50" s="2" t="s">
        <v>33</v>
      </c>
      <c r="H50" s="2"/>
      <c r="I50" s="2" t="s">
        <v>129</v>
      </c>
      <c r="J50" s="2" t="s">
        <v>99</v>
      </c>
      <c r="K50" s="2" t="s">
        <v>129</v>
      </c>
      <c r="L50" t="s">
        <v>32</v>
      </c>
      <c r="N50" s="2" t="s">
        <v>99</v>
      </c>
      <c r="O50" s="2" t="s">
        <v>33</v>
      </c>
      <c r="P50" s="2"/>
      <c r="Q50" s="2" t="s">
        <v>101</v>
      </c>
      <c r="R50" s="2"/>
      <c r="S50" s="2"/>
      <c r="T50" s="2"/>
      <c r="U50" s="2"/>
      <c r="V50" s="2"/>
      <c r="W50" s="2"/>
      <c r="X50" s="2"/>
      <c r="Y50" s="2" t="s">
        <v>154</v>
      </c>
    </row>
    <row r="51" spans="1:25" ht="25.5" x14ac:dyDescent="0.2">
      <c r="A51" s="5" t="s">
        <v>86</v>
      </c>
      <c r="B51" t="str">
        <f>HYPERLINK("https://www.onsemi.com/PowerSolutions/product.do?id=LB11961V","LB11961V")</f>
        <v>LB11961V</v>
      </c>
      <c r="C51" t="str">
        <f>HYPERLINK("https://www.onsemi.com/pub/Collateral/EN8794-D.PDF","EN8794/D (70.0kB)")</f>
        <v>EN8794/D (70.0kB)</v>
      </c>
      <c r="D51" t="s">
        <v>115</v>
      </c>
      <c r="E51" s="2" t="s">
        <v>27</v>
      </c>
      <c r="F51" t="s">
        <v>28</v>
      </c>
      <c r="G51" s="2" t="s">
        <v>33</v>
      </c>
      <c r="H51" s="2"/>
      <c r="I51" s="2" t="s">
        <v>129</v>
      </c>
      <c r="J51" s="2" t="s">
        <v>99</v>
      </c>
      <c r="K51" s="2" t="s">
        <v>129</v>
      </c>
      <c r="L51" s="2" t="s">
        <v>99</v>
      </c>
      <c r="M51" s="2"/>
      <c r="N51" s="2" t="s">
        <v>33</v>
      </c>
      <c r="O51" s="2" t="s">
        <v>33</v>
      </c>
      <c r="P51" s="2"/>
      <c r="Q51" s="2" t="s">
        <v>101</v>
      </c>
      <c r="R51" s="2"/>
      <c r="S51" s="2"/>
      <c r="T51" s="2"/>
      <c r="U51" s="2"/>
      <c r="V51" s="2"/>
      <c r="W51" s="2"/>
      <c r="X51" s="2"/>
      <c r="Y51" s="2" t="s">
        <v>126</v>
      </c>
    </row>
    <row r="52" spans="1:25" ht="25.5" x14ac:dyDescent="0.2">
      <c r="A52" s="5" t="s">
        <v>86</v>
      </c>
      <c r="B52" t="str">
        <f>HYPERLINK("https://www.onsemi.com/PowerSolutions/product.do?id=LB11964FA","LB11964FA")</f>
        <v>LB11964FA</v>
      </c>
      <c r="C52" t="str">
        <f>HYPERLINK("https://www.onsemi.com/pub/Collateral/ENA2077-D.PDF","ENA2077/D (216.0kB)")</f>
        <v>ENA2077/D (216.0kB)</v>
      </c>
      <c r="D52" t="s">
        <v>115</v>
      </c>
      <c r="E52" s="2" t="s">
        <v>27</v>
      </c>
      <c r="F52" t="s">
        <v>28</v>
      </c>
      <c r="G52" s="2" t="s">
        <v>33</v>
      </c>
      <c r="H52" s="2"/>
      <c r="I52" s="2" t="s">
        <v>155</v>
      </c>
      <c r="J52" s="2" t="s">
        <v>156</v>
      </c>
      <c r="K52" s="2" t="s">
        <v>155</v>
      </c>
      <c r="L52" s="2" t="s">
        <v>156</v>
      </c>
      <c r="M52" s="2"/>
      <c r="N52" t="s">
        <v>32</v>
      </c>
      <c r="O52" s="2" t="s">
        <v>38</v>
      </c>
      <c r="P52" s="2"/>
      <c r="Q52" s="2" t="s">
        <v>101</v>
      </c>
      <c r="R52" s="2"/>
      <c r="S52" s="2"/>
      <c r="T52" s="2"/>
      <c r="U52" s="2"/>
      <c r="V52" s="2"/>
      <c r="W52" s="2"/>
      <c r="X52" s="2"/>
      <c r="Y52" s="2" t="s">
        <v>47</v>
      </c>
    </row>
    <row r="53" spans="1:25" ht="25.5" x14ac:dyDescent="0.2">
      <c r="A53" s="5" t="s">
        <v>86</v>
      </c>
      <c r="B53" t="str">
        <f>HYPERLINK("https://www.onsemi.com/PowerSolutions/product.do?id=LB11967V","LB11967V")</f>
        <v>LB11967V</v>
      </c>
      <c r="C53" t="str">
        <f>HYPERLINK("https://www.onsemi.com/pub/Collateral/LB11967V-D.PDF","LB11967V/D (247kB)")</f>
        <v>LB11967V/D (247kB)</v>
      </c>
      <c r="D53" t="s">
        <v>157</v>
      </c>
      <c r="E53" s="2" t="s">
        <v>27</v>
      </c>
      <c r="F53" t="s">
        <v>28</v>
      </c>
      <c r="G53" s="2" t="s">
        <v>33</v>
      </c>
      <c r="H53" s="2"/>
      <c r="I53" s="2" t="s">
        <v>57</v>
      </c>
      <c r="J53" s="2" t="s">
        <v>99</v>
      </c>
      <c r="K53" s="2" t="s">
        <v>57</v>
      </c>
      <c r="L53" s="2" t="s">
        <v>99</v>
      </c>
      <c r="M53" s="2"/>
      <c r="N53" s="2" t="s">
        <v>96</v>
      </c>
      <c r="O53" t="s">
        <v>32</v>
      </c>
      <c r="Q53" s="2" t="s">
        <v>77</v>
      </c>
      <c r="R53" s="2"/>
      <c r="S53" s="2"/>
      <c r="T53" s="2"/>
      <c r="U53" s="2"/>
      <c r="V53" s="2"/>
      <c r="W53" s="2"/>
      <c r="X53" s="2"/>
      <c r="Y53" s="2" t="s">
        <v>42</v>
      </c>
    </row>
    <row r="54" spans="1:25" ht="25.5" x14ac:dyDescent="0.2">
      <c r="A54" s="5" t="s">
        <v>86</v>
      </c>
      <c r="B54" t="str">
        <f>HYPERLINK("https://www.onsemi.com/PowerSolutions/product.do?id=LB11970FV","LB11970FV")</f>
        <v>LB11970FV</v>
      </c>
      <c r="C54" t="str">
        <f>HYPERLINK("https://www.onsemi.com/pub/Collateral/LB11970FV-D.PDF","LB11970FV/D (229kB)")</f>
        <v>LB11970FV/D (229kB)</v>
      </c>
      <c r="D54" t="s">
        <v>115</v>
      </c>
      <c r="E54" s="2" t="s">
        <v>27</v>
      </c>
      <c r="F54" t="s">
        <v>28</v>
      </c>
      <c r="G54" s="2" t="s">
        <v>33</v>
      </c>
      <c r="H54" s="2"/>
      <c r="I54" s="2" t="s">
        <v>155</v>
      </c>
      <c r="J54" s="2" t="s">
        <v>99</v>
      </c>
      <c r="K54" s="2" t="s">
        <v>129</v>
      </c>
      <c r="L54" s="2" t="s">
        <v>99</v>
      </c>
      <c r="M54" s="2"/>
      <c r="N54" s="2" t="s">
        <v>62</v>
      </c>
      <c r="O54" t="s">
        <v>32</v>
      </c>
      <c r="Q54" s="2" t="s">
        <v>132</v>
      </c>
      <c r="R54" s="2"/>
      <c r="S54" s="2"/>
      <c r="T54" s="2"/>
      <c r="U54" s="2"/>
      <c r="V54" s="2"/>
      <c r="W54" s="2"/>
      <c r="X54" s="2"/>
      <c r="Y54" s="2" t="s">
        <v>158</v>
      </c>
    </row>
    <row r="55" spans="1:25" ht="25.5" x14ac:dyDescent="0.2">
      <c r="A55" s="5" t="s">
        <v>86</v>
      </c>
      <c r="B55" t="str">
        <f>HYPERLINK("https://www.onsemi.com/PowerSolutions/product.do?id=LB11988V","LB11988V")</f>
        <v>LB11988V</v>
      </c>
      <c r="C55" t="str">
        <f>HYPERLINK("https://www.onsemi.com/pub/Collateral/ENA0377-D.PDF","ENA0377/D (83.0kB)")</f>
        <v>ENA0377/D (83.0kB)</v>
      </c>
      <c r="D55" t="s">
        <v>159</v>
      </c>
      <c r="E55" s="2" t="s">
        <v>27</v>
      </c>
      <c r="F55" t="s">
        <v>28</v>
      </c>
      <c r="G55" s="2" t="s">
        <v>37</v>
      </c>
      <c r="H55" s="2"/>
      <c r="I55" s="2" t="s">
        <v>64</v>
      </c>
      <c r="J55" s="2" t="s">
        <v>160</v>
      </c>
      <c r="K55" s="2" t="s">
        <v>161</v>
      </c>
      <c r="L55" s="2" t="s">
        <v>160</v>
      </c>
      <c r="M55" s="2"/>
      <c r="N55" t="s">
        <v>32</v>
      </c>
      <c r="O55" s="2" t="s">
        <v>162</v>
      </c>
      <c r="P55" s="2"/>
      <c r="Q55" s="2" t="s">
        <v>101</v>
      </c>
      <c r="R55" s="2"/>
      <c r="S55" s="2"/>
      <c r="T55" s="2"/>
      <c r="U55" s="2"/>
      <c r="V55" s="2"/>
      <c r="W55" s="2"/>
      <c r="X55" s="2"/>
      <c r="Y55" s="2" t="s">
        <v>130</v>
      </c>
    </row>
    <row r="56" spans="1:25" ht="25.5" x14ac:dyDescent="0.2">
      <c r="A56" s="5" t="s">
        <v>86</v>
      </c>
      <c r="B56" t="str">
        <f>HYPERLINK("https://www.onsemi.com/PowerSolutions/product.do?id=LB1668M","LB1668M")</f>
        <v>LB1668M</v>
      </c>
      <c r="C56" t="str">
        <f>HYPERLINK("https://www.onsemi.com/pub/Collateral/LB1668M-D.PDF","LB1668M/D (185kB)")</f>
        <v>LB1668M/D (185kB)</v>
      </c>
      <c r="D56" t="s">
        <v>163</v>
      </c>
      <c r="E56" s="2" t="s">
        <v>27</v>
      </c>
      <c r="F56" t="s">
        <v>28</v>
      </c>
      <c r="G56" s="2" t="s">
        <v>21</v>
      </c>
      <c r="H56" s="2"/>
      <c r="I56" t="s">
        <v>32</v>
      </c>
      <c r="J56" t="s">
        <v>32</v>
      </c>
      <c r="K56" t="s">
        <v>32</v>
      </c>
      <c r="L56" t="s">
        <v>32</v>
      </c>
      <c r="N56" s="2" t="s">
        <v>125</v>
      </c>
      <c r="O56" t="s">
        <v>32</v>
      </c>
      <c r="Q56" t="s">
        <v>32</v>
      </c>
      <c r="Y56" s="2" t="s">
        <v>164</v>
      </c>
    </row>
    <row r="57" spans="1:25" ht="25.5" x14ac:dyDescent="0.2">
      <c r="A57" s="5" t="s">
        <v>86</v>
      </c>
      <c r="B57" t="str">
        <f>HYPERLINK("https://www.onsemi.com/PowerSolutions/product.do?id=LB1862MC","LB1862MC")</f>
        <v>LB1862MC</v>
      </c>
      <c r="C57" t="str">
        <f>HYPERLINK("https://www.onsemi.com/pub/Collateral/ENA2024-D.PDF","ENA2024/D (91.0kB)")</f>
        <v>ENA2024/D (91.0kB)</v>
      </c>
      <c r="D57" t="s">
        <v>115</v>
      </c>
      <c r="E57" s="2" t="s">
        <v>27</v>
      </c>
      <c r="F57" t="s">
        <v>28</v>
      </c>
      <c r="G57" s="2" t="s">
        <v>33</v>
      </c>
      <c r="H57" s="2"/>
      <c r="I57" s="2" t="s">
        <v>51</v>
      </c>
      <c r="J57" s="2" t="s">
        <v>165</v>
      </c>
      <c r="K57" s="2" t="s">
        <v>51</v>
      </c>
      <c r="L57" s="2" t="s">
        <v>165</v>
      </c>
      <c r="M57" s="2"/>
      <c r="N57" t="s">
        <v>32</v>
      </c>
      <c r="O57" s="2" t="s">
        <v>38</v>
      </c>
      <c r="P57" s="2"/>
      <c r="Q57" s="2" t="s">
        <v>101</v>
      </c>
      <c r="R57" s="2"/>
      <c r="S57" s="2"/>
      <c r="T57" s="2"/>
      <c r="U57" s="2"/>
      <c r="V57" s="2"/>
      <c r="W57" s="2"/>
      <c r="X57" s="2"/>
      <c r="Y57" s="2" t="s">
        <v>105</v>
      </c>
    </row>
    <row r="58" spans="1:25" ht="25.5" x14ac:dyDescent="0.2">
      <c r="A58" s="5" t="s">
        <v>86</v>
      </c>
      <c r="B58" t="str">
        <f>HYPERLINK("https://www.onsemi.com/PowerSolutions/product.do?id=LB1863M","LB1863M")</f>
        <v>LB1863M</v>
      </c>
      <c r="C58" t="str">
        <f>HYPERLINK("https://www.onsemi.com/pub/Collateral/LB1863M-D.PDF","LB1863M/D (164kB)")</f>
        <v>LB1863M/D (164kB)</v>
      </c>
      <c r="D58" t="s">
        <v>166</v>
      </c>
      <c r="E58" s="2" t="s">
        <v>27</v>
      </c>
      <c r="F58" t="s">
        <v>28</v>
      </c>
      <c r="G58" s="2" t="s">
        <v>21</v>
      </c>
      <c r="H58" s="2"/>
      <c r="I58" t="s">
        <v>32</v>
      </c>
      <c r="J58" t="s">
        <v>32</v>
      </c>
      <c r="K58" t="s">
        <v>32</v>
      </c>
      <c r="L58" t="s">
        <v>32</v>
      </c>
      <c r="N58" s="2" t="s">
        <v>125</v>
      </c>
      <c r="O58" t="s">
        <v>32</v>
      </c>
      <c r="Q58" s="2" t="s">
        <v>23</v>
      </c>
      <c r="R58" s="2"/>
      <c r="S58" s="2"/>
      <c r="T58" s="2"/>
      <c r="U58" s="2"/>
      <c r="V58" s="2"/>
      <c r="W58" s="2"/>
      <c r="X58" s="2"/>
      <c r="Y58" s="2" t="s">
        <v>164</v>
      </c>
    </row>
    <row r="59" spans="1:25" ht="25.5" x14ac:dyDescent="0.2">
      <c r="A59" s="5" t="s">
        <v>86</v>
      </c>
      <c r="B59" t="str">
        <f>HYPERLINK("https://www.onsemi.com/PowerSolutions/product.do?id=LB1867M","LB1867M")</f>
        <v>LB1867M</v>
      </c>
      <c r="C59" t="str">
        <f>HYPERLINK("https://www.onsemi.com/pub/Collateral/EN6204-D.PDF","EN6204/D (81.0kB)")</f>
        <v>EN6204/D (81.0kB)</v>
      </c>
      <c r="D59" t="s">
        <v>167</v>
      </c>
      <c r="E59" s="2" t="s">
        <v>27</v>
      </c>
      <c r="F59" t="s">
        <v>28</v>
      </c>
      <c r="G59" s="2" t="s">
        <v>21</v>
      </c>
      <c r="H59" s="2"/>
      <c r="I59" t="s">
        <v>32</v>
      </c>
      <c r="J59" s="2" t="s">
        <v>168</v>
      </c>
      <c r="K59" s="2" t="s">
        <v>169</v>
      </c>
      <c r="L59" s="2" t="s">
        <v>161</v>
      </c>
      <c r="M59" s="2"/>
      <c r="N59" s="2" t="s">
        <v>33</v>
      </c>
      <c r="O59" t="s">
        <v>32</v>
      </c>
      <c r="Q59" s="2" t="s">
        <v>34</v>
      </c>
      <c r="R59" s="2"/>
      <c r="S59" s="2"/>
      <c r="T59" s="2"/>
      <c r="U59" s="2"/>
      <c r="V59" s="2"/>
      <c r="W59" s="2"/>
      <c r="X59" s="2"/>
      <c r="Y59" s="2" t="s">
        <v>164</v>
      </c>
    </row>
    <row r="60" spans="1:25" ht="25.5" x14ac:dyDescent="0.2">
      <c r="A60" s="5" t="s">
        <v>86</v>
      </c>
      <c r="B60" t="str">
        <f>HYPERLINK("https://www.onsemi.com/PowerSolutions/product.do?id=LB1868M","LB1868M")</f>
        <v>LB1868M</v>
      </c>
      <c r="C60" t="str">
        <f>HYPERLINK("https://www.onsemi.com/pub/Collateral/LB1868M-D.PDF","LB1868M/D (157kB)")</f>
        <v>LB1868M/D (157kB)</v>
      </c>
      <c r="D60" t="s">
        <v>167</v>
      </c>
      <c r="E60" s="2" t="s">
        <v>27</v>
      </c>
      <c r="F60" t="s">
        <v>28</v>
      </c>
      <c r="G60" s="2" t="s">
        <v>21</v>
      </c>
      <c r="H60" s="2"/>
      <c r="I60" t="s">
        <v>32</v>
      </c>
      <c r="J60" s="2" t="s">
        <v>168</v>
      </c>
      <c r="K60" s="2" t="s">
        <v>169</v>
      </c>
      <c r="L60" s="2" t="s">
        <v>161</v>
      </c>
      <c r="M60" s="2"/>
      <c r="N60" s="2" t="s">
        <v>33</v>
      </c>
      <c r="O60" t="s">
        <v>32</v>
      </c>
      <c r="Q60" s="2" t="s">
        <v>34</v>
      </c>
      <c r="R60" s="2"/>
      <c r="S60" s="2"/>
      <c r="T60" s="2"/>
      <c r="U60" s="2"/>
      <c r="V60" s="2"/>
      <c r="W60" s="2"/>
      <c r="X60" s="2"/>
      <c r="Y60" s="2" t="s">
        <v>164</v>
      </c>
    </row>
    <row r="61" spans="1:25" ht="25.5" x14ac:dyDescent="0.2">
      <c r="A61" s="5" t="s">
        <v>86</v>
      </c>
      <c r="B61" t="str">
        <f>HYPERLINK("https://www.onsemi.com/PowerSolutions/product.do?id=LB1962MC","LB1962MC")</f>
        <v>LB1962MC</v>
      </c>
      <c r="C61" t="str">
        <f>HYPERLINK("https://www.onsemi.com/pub/Collateral/ENA2025-D.PDF","ENA2025/D (120.0kB)")</f>
        <v>ENA2025/D (120.0kB)</v>
      </c>
      <c r="D61" t="s">
        <v>115</v>
      </c>
      <c r="E61" s="2" t="s">
        <v>27</v>
      </c>
      <c r="F61" t="s">
        <v>28</v>
      </c>
      <c r="G61" s="2" t="s">
        <v>33</v>
      </c>
      <c r="H61" s="2"/>
      <c r="I61" s="2" t="s">
        <v>51</v>
      </c>
      <c r="J61" s="2" t="s">
        <v>165</v>
      </c>
      <c r="K61" s="2" t="s">
        <v>51</v>
      </c>
      <c r="L61" s="2" t="s">
        <v>165</v>
      </c>
      <c r="M61" s="2"/>
      <c r="N61" t="s">
        <v>32</v>
      </c>
      <c r="O61" s="2" t="s">
        <v>38</v>
      </c>
      <c r="P61" s="2"/>
      <c r="Q61" s="2" t="s">
        <v>101</v>
      </c>
      <c r="R61" s="2"/>
      <c r="S61" s="2"/>
      <c r="T61" s="2"/>
      <c r="U61" s="2"/>
      <c r="V61" s="2"/>
      <c r="W61" s="2"/>
      <c r="X61" s="2"/>
      <c r="Y61" s="2" t="s">
        <v>35</v>
      </c>
    </row>
    <row r="62" spans="1:25" ht="25.5" x14ac:dyDescent="0.2">
      <c r="A62" s="5" t="s">
        <v>86</v>
      </c>
      <c r="B62" t="str">
        <f>HYPERLINK("https://www.onsemi.com/PowerSolutions/product.do?id=LB8503V","LB8503V")</f>
        <v>LB8503V</v>
      </c>
      <c r="C62" t="str">
        <f>HYPERLINK("https://www.onsemi.com/pub/Collateral/LB8503V-D.PDF","LB8503V/D (275kB)")</f>
        <v>LB8503V/D (275kB)</v>
      </c>
      <c r="D62" t="s">
        <v>170</v>
      </c>
      <c r="E62" s="2" t="s">
        <v>27</v>
      </c>
      <c r="F62" t="s">
        <v>28</v>
      </c>
      <c r="G62" s="2" t="s">
        <v>171</v>
      </c>
      <c r="H62" s="2"/>
      <c r="I62" s="2" t="s">
        <v>172</v>
      </c>
      <c r="J62" s="2" t="s">
        <v>120</v>
      </c>
      <c r="K62" s="2" t="s">
        <v>173</v>
      </c>
      <c r="L62" s="2" t="s">
        <v>17</v>
      </c>
      <c r="M62" s="2"/>
      <c r="N62" s="2" t="s">
        <v>174</v>
      </c>
      <c r="O62" s="2" t="s">
        <v>175</v>
      </c>
      <c r="P62" s="2"/>
      <c r="Q62" s="2" t="s">
        <v>101</v>
      </c>
      <c r="R62" s="2"/>
      <c r="S62" s="2"/>
      <c r="T62" s="2"/>
      <c r="U62" s="2"/>
      <c r="V62" s="2"/>
      <c r="W62" s="2"/>
      <c r="X62" s="2"/>
      <c r="Y62" s="2" t="s">
        <v>126</v>
      </c>
    </row>
    <row r="63" spans="1:25" ht="25.5" x14ac:dyDescent="0.2">
      <c r="A63" s="5" t="s">
        <v>86</v>
      </c>
      <c r="B63" t="str">
        <f>HYPERLINK("https://www.onsemi.com/PowerSolutions/product.do?id=LC898123F40XC","LC898123F40XC")</f>
        <v>LC898123F40XC</v>
      </c>
      <c r="C63" t="str">
        <f>HYPERLINK("https://www.onsemi.com/pub/Collateral/LC898123F40XC-D.PDF","LC898123F40XC/D (315kB)")</f>
        <v>LC898123F40XC/D (315kB)</v>
      </c>
      <c r="D63" t="s">
        <v>176</v>
      </c>
      <c r="E63" s="2" t="s">
        <v>27</v>
      </c>
      <c r="F63" t="s">
        <v>28</v>
      </c>
      <c r="G63" t="s">
        <v>32</v>
      </c>
      <c r="I63" s="2" t="s">
        <v>177</v>
      </c>
      <c r="J63" s="2" t="s">
        <v>89</v>
      </c>
      <c r="K63" s="2" t="s">
        <v>88</v>
      </c>
      <c r="L63" s="2" t="s">
        <v>89</v>
      </c>
      <c r="M63" s="2"/>
      <c r="N63" s="2" t="s">
        <v>178</v>
      </c>
      <c r="O63" s="2" t="s">
        <v>179</v>
      </c>
      <c r="P63" s="2"/>
      <c r="Q63" s="2" t="s">
        <v>22</v>
      </c>
      <c r="R63" s="2"/>
      <c r="S63" s="2"/>
      <c r="T63" s="2"/>
      <c r="U63" s="2"/>
      <c r="V63" s="2"/>
      <c r="W63" s="2"/>
      <c r="X63" s="2"/>
      <c r="Y63" s="2" t="s">
        <v>180</v>
      </c>
    </row>
    <row r="64" spans="1:25" ht="25.5" x14ac:dyDescent="0.2">
      <c r="A64" s="5" t="s">
        <v>86</v>
      </c>
      <c r="B64" t="str">
        <f>HYPERLINK("https://www.onsemi.com/PowerSolutions/product.do?id=LC898124EP1XC","LC898124EP1XC")</f>
        <v>LC898124EP1XC</v>
      </c>
      <c r="C64" t="str">
        <f>HYPERLINK("https://www.onsemi.com/pub/Collateral/LC898124EP1XC-D.PDF","LC898124EP1XC/D (259kB)")</f>
        <v>LC898124EP1XC/D (259kB)</v>
      </c>
      <c r="D64" t="s">
        <v>181</v>
      </c>
      <c r="E64" s="2" t="s">
        <v>27</v>
      </c>
      <c r="F64" t="s">
        <v>28</v>
      </c>
      <c r="G64" t="s">
        <v>32</v>
      </c>
      <c r="I64" s="2" t="s">
        <v>88</v>
      </c>
      <c r="J64" s="2" t="s">
        <v>89</v>
      </c>
      <c r="K64" s="2" t="s">
        <v>88</v>
      </c>
      <c r="L64" s="2" t="s">
        <v>89</v>
      </c>
      <c r="M64" s="2"/>
      <c r="N64" s="2" t="s">
        <v>182</v>
      </c>
      <c r="O64" t="s">
        <v>32</v>
      </c>
      <c r="Q64" s="2" t="s">
        <v>91</v>
      </c>
      <c r="R64" s="2"/>
      <c r="S64" s="2"/>
      <c r="T64" s="2"/>
      <c r="U64" s="2"/>
      <c r="V64" s="2"/>
      <c r="W64" s="2"/>
      <c r="X64" s="2"/>
      <c r="Y64" s="2" t="s">
        <v>183</v>
      </c>
    </row>
    <row r="65" spans="1:25" ht="25.5" x14ac:dyDescent="0.2">
      <c r="A65" s="5" t="s">
        <v>86</v>
      </c>
      <c r="B65" t="str">
        <f>HYPERLINK("https://www.onsemi.com/PowerSolutions/product.do?id=LC898124EP2XC","LC898124EP2XC")</f>
        <v>LC898124EP2XC</v>
      </c>
      <c r="C65" t="str">
        <f>HYPERLINK("https://www.onsemi.com/pub/Collateral/LC898124EP2XC-D.PDF","LC898124EP2XC/D (326kB)")</f>
        <v>LC898124EP2XC/D (326kB)</v>
      </c>
      <c r="D65" t="s">
        <v>181</v>
      </c>
      <c r="E65" s="2" t="s">
        <v>27</v>
      </c>
      <c r="F65" t="s">
        <v>28</v>
      </c>
      <c r="G65" t="s">
        <v>32</v>
      </c>
      <c r="I65" s="2" t="s">
        <v>184</v>
      </c>
      <c r="J65" s="2" t="s">
        <v>89</v>
      </c>
      <c r="K65" s="2" t="s">
        <v>88</v>
      </c>
      <c r="L65" s="2" t="s">
        <v>89</v>
      </c>
      <c r="M65" s="2"/>
      <c r="N65" s="2" t="s">
        <v>182</v>
      </c>
      <c r="O65" t="s">
        <v>32</v>
      </c>
      <c r="Q65" s="2" t="s">
        <v>91</v>
      </c>
      <c r="R65" s="2"/>
      <c r="S65" s="2"/>
      <c r="T65" s="2"/>
      <c r="U65" s="2"/>
      <c r="V65" s="2"/>
      <c r="W65" s="2"/>
      <c r="X65" s="2"/>
      <c r="Y65" s="2" t="s">
        <v>183</v>
      </c>
    </row>
    <row r="66" spans="1:25" ht="25.5" x14ac:dyDescent="0.2">
      <c r="A66" s="5" t="s">
        <v>86</v>
      </c>
      <c r="B66" t="str">
        <f>HYPERLINK("https://www.onsemi.com/PowerSolutions/product.do?id=LC898124EP3XC","LC898124EP3XC")</f>
        <v>LC898124EP3XC</v>
      </c>
      <c r="C66" t="str">
        <f>HYPERLINK("https://www.onsemi.com/pub/Collateral/LC898124EP3XC-D.PDF","LC898124EP3XC/D (155kB)")</f>
        <v>LC898124EP3XC/D (155kB)</v>
      </c>
      <c r="D66" t="s">
        <v>181</v>
      </c>
      <c r="E66" s="2" t="s">
        <v>27</v>
      </c>
      <c r="F66" t="s">
        <v>28</v>
      </c>
      <c r="G66" t="s">
        <v>32</v>
      </c>
      <c r="I66" s="2" t="s">
        <v>184</v>
      </c>
      <c r="J66" s="2" t="s">
        <v>89</v>
      </c>
      <c r="K66" s="2" t="s">
        <v>185</v>
      </c>
      <c r="L66" s="2" t="s">
        <v>89</v>
      </c>
      <c r="M66" s="2"/>
      <c r="N66" s="2" t="s">
        <v>186</v>
      </c>
      <c r="O66" t="s">
        <v>32</v>
      </c>
      <c r="Q66" s="2" t="s">
        <v>91</v>
      </c>
      <c r="R66" s="2"/>
      <c r="S66" s="2"/>
      <c r="T66" s="2"/>
      <c r="U66" s="2"/>
      <c r="V66" s="2"/>
      <c r="W66" s="2"/>
      <c r="X66" s="2"/>
      <c r="Y66" s="2" t="s">
        <v>183</v>
      </c>
    </row>
    <row r="67" spans="1:25" ht="25.5" x14ac:dyDescent="0.2">
      <c r="A67" s="5" t="s">
        <v>86</v>
      </c>
      <c r="B67" t="str">
        <f>HYPERLINK("https://www.onsemi.com/PowerSolutions/product.do?id=LC898128DP1","LC898128DP1")</f>
        <v>LC898128DP1</v>
      </c>
      <c r="C67" t="str">
        <f>HYPERLINK("https://www.onsemi.com/pub/Collateral/LC898128DP1XG-D.PDF","LC898128DP1XG/D (91kB)")</f>
        <v>LC898128DP1XG/D (91kB)</v>
      </c>
      <c r="D67" t="s">
        <v>187</v>
      </c>
      <c r="E67" s="2" t="s">
        <v>27</v>
      </c>
      <c r="F67" t="s">
        <v>28</v>
      </c>
      <c r="G67" t="s">
        <v>32</v>
      </c>
      <c r="I67" s="2" t="s">
        <v>184</v>
      </c>
      <c r="J67" s="2" t="s">
        <v>89</v>
      </c>
      <c r="K67" s="2" t="s">
        <v>188</v>
      </c>
      <c r="L67" s="2" t="s">
        <v>89</v>
      </c>
      <c r="M67" s="2"/>
      <c r="N67" s="2" t="s">
        <v>186</v>
      </c>
      <c r="O67" t="s">
        <v>32</v>
      </c>
      <c r="Q67" s="2" t="s">
        <v>91</v>
      </c>
      <c r="R67" s="2"/>
      <c r="S67" s="2"/>
      <c r="T67" s="2"/>
      <c r="U67" s="2"/>
      <c r="V67" s="2"/>
      <c r="W67" s="2"/>
      <c r="X67" s="2"/>
      <c r="Y67" s="2" t="s">
        <v>189</v>
      </c>
    </row>
    <row r="68" spans="1:25" ht="25.5" x14ac:dyDescent="0.2">
      <c r="A68" s="5" t="s">
        <v>86</v>
      </c>
      <c r="B68" t="str">
        <f>HYPERLINK("https://www.onsemi.com/PowerSolutions/product.do?id=LC898229XI","LC898229XI")</f>
        <v>LC898229XI</v>
      </c>
      <c r="C68" t="str">
        <f>HYPERLINK("https://www.onsemi.com/pub/Collateral/LC898229XI-D.PDF","LC898229XI/D (150kB)")</f>
        <v>LC898229XI/D (150kB)</v>
      </c>
      <c r="D68" t="s">
        <v>190</v>
      </c>
      <c r="E68" s="2" t="s">
        <v>27</v>
      </c>
      <c r="F68" t="s">
        <v>28</v>
      </c>
      <c r="G68" t="s">
        <v>32</v>
      </c>
      <c r="I68" s="2" t="s">
        <v>88</v>
      </c>
      <c r="J68" s="2" t="s">
        <v>89</v>
      </c>
      <c r="K68" t="s">
        <v>32</v>
      </c>
      <c r="L68" t="s">
        <v>32</v>
      </c>
      <c r="N68" s="2" t="s">
        <v>191</v>
      </c>
      <c r="O68" t="s">
        <v>32</v>
      </c>
      <c r="Q68" s="2" t="s">
        <v>91</v>
      </c>
      <c r="R68" s="2"/>
      <c r="S68" s="2"/>
      <c r="T68" s="2"/>
      <c r="U68" s="2"/>
      <c r="V68" s="2"/>
      <c r="W68" s="2"/>
      <c r="X68" s="2"/>
      <c r="Y68" s="2" t="s">
        <v>192</v>
      </c>
    </row>
    <row r="69" spans="1:25" ht="25.5" x14ac:dyDescent="0.2">
      <c r="A69" s="5" t="s">
        <v>86</v>
      </c>
      <c r="B69" t="str">
        <f>HYPERLINK("https://www.onsemi.com/PowerSolutions/product.do?id=LC898301AXA","LC898301AXA")</f>
        <v>LC898301AXA</v>
      </c>
      <c r="C69" t="str">
        <f>HYPERLINK("https://www.onsemi.com/pub/Collateral/ENA2268-D.PDF","ENA2268/D (236kB)")</f>
        <v>ENA2268/D (236kB)</v>
      </c>
      <c r="D69" t="s">
        <v>193</v>
      </c>
      <c r="E69" s="2" t="s">
        <v>27</v>
      </c>
      <c r="F69" t="s">
        <v>28</v>
      </c>
      <c r="G69" s="2" t="s">
        <v>33</v>
      </c>
      <c r="H69" s="2"/>
      <c r="I69" s="2" t="s">
        <v>37</v>
      </c>
      <c r="J69" s="2" t="s">
        <v>17</v>
      </c>
      <c r="K69" s="2" t="s">
        <v>37</v>
      </c>
      <c r="L69" s="2" t="s">
        <v>17</v>
      </c>
      <c r="M69" s="2"/>
      <c r="N69" s="2" t="s">
        <v>194</v>
      </c>
      <c r="O69" t="s">
        <v>32</v>
      </c>
      <c r="Q69" s="2" t="s">
        <v>195</v>
      </c>
      <c r="R69" s="2"/>
      <c r="S69" s="2"/>
      <c r="T69" s="2"/>
      <c r="U69" s="2"/>
      <c r="V69" s="2"/>
      <c r="W69" s="2"/>
      <c r="X69" s="2"/>
      <c r="Y69" s="2" t="s">
        <v>196</v>
      </c>
    </row>
    <row r="70" spans="1:25" ht="25.5" x14ac:dyDescent="0.2">
      <c r="A70" s="5" t="s">
        <v>86</v>
      </c>
      <c r="B70" t="str">
        <f>HYPERLINK("https://www.onsemi.com/PowerSolutions/product.do?id=LC898301XA","LC898301XA")</f>
        <v>LC898301XA</v>
      </c>
      <c r="C70" t="str">
        <f>HYPERLINK("https://www.onsemi.com/pub/Collateral/ENA2231-D.PDF","ENA2231/D (268kB)")</f>
        <v>ENA2231/D (268kB)</v>
      </c>
      <c r="D70" t="s">
        <v>197</v>
      </c>
      <c r="E70" s="2" t="s">
        <v>27</v>
      </c>
      <c r="F70" t="s">
        <v>28</v>
      </c>
      <c r="G70" s="2" t="s">
        <v>33</v>
      </c>
      <c r="H70" s="2"/>
      <c r="I70" s="2" t="s">
        <v>37</v>
      </c>
      <c r="J70" s="2" t="s">
        <v>17</v>
      </c>
      <c r="K70" s="2" t="s">
        <v>37</v>
      </c>
      <c r="L70" s="2" t="s">
        <v>17</v>
      </c>
      <c r="M70" s="2"/>
      <c r="N70" s="2" t="s">
        <v>194</v>
      </c>
      <c r="O70" t="s">
        <v>32</v>
      </c>
      <c r="Q70" s="2" t="s">
        <v>195</v>
      </c>
      <c r="R70" s="2"/>
      <c r="S70" s="2"/>
      <c r="T70" s="2"/>
      <c r="U70" s="2"/>
      <c r="V70" s="2"/>
      <c r="W70" s="2"/>
      <c r="X70" s="2"/>
      <c r="Y70" s="2" t="s">
        <v>196</v>
      </c>
    </row>
    <row r="71" spans="1:25" ht="25.5" x14ac:dyDescent="0.2">
      <c r="A71" s="5" t="s">
        <v>86</v>
      </c>
      <c r="B71" t="str">
        <f>HYPERLINK("https://www.onsemi.com/PowerSolutions/product.do?id=LC898302AXA","LC898302AXA")</f>
        <v>LC898302AXA</v>
      </c>
      <c r="C71" t="str">
        <f>HYPERLINK("https://www.onsemi.com/pub/Collateral/LC898302AXA-D.PDF","LC898302AXA/D (193kB)")</f>
        <v>LC898302AXA/D (193kB)</v>
      </c>
      <c r="D71" t="s">
        <v>197</v>
      </c>
      <c r="E71" s="2" t="s">
        <v>27</v>
      </c>
      <c r="F71" t="s">
        <v>28</v>
      </c>
      <c r="G71" s="2" t="s">
        <v>33</v>
      </c>
      <c r="H71" s="2"/>
      <c r="I71" s="2" t="s">
        <v>50</v>
      </c>
      <c r="J71" s="2" t="s">
        <v>129</v>
      </c>
      <c r="K71" s="2" t="s">
        <v>50</v>
      </c>
      <c r="L71" s="2" t="s">
        <v>129</v>
      </c>
      <c r="M71" s="2"/>
      <c r="N71" s="2" t="s">
        <v>194</v>
      </c>
      <c r="O71" t="s">
        <v>32</v>
      </c>
      <c r="Q71" s="2" t="s">
        <v>77</v>
      </c>
      <c r="R71" s="2"/>
      <c r="S71" s="2"/>
      <c r="T71" s="2"/>
      <c r="U71" s="2"/>
      <c r="V71" s="2"/>
      <c r="W71" s="2"/>
      <c r="X71" s="2"/>
      <c r="Y71" s="2" t="s">
        <v>192</v>
      </c>
    </row>
    <row r="72" spans="1:25" ht="25.5" x14ac:dyDescent="0.2">
      <c r="A72" s="5" t="s">
        <v>86</v>
      </c>
      <c r="B72" t="str">
        <f>HYPERLINK("https://www.onsemi.com/PowerSolutions/product.do?id=LV11961HA","LV11961HA")</f>
        <v>LV11961HA</v>
      </c>
      <c r="C72" t="str">
        <f>HYPERLINK("https://www.onsemi.com/pub/Collateral/LV11961HA-D.PDF","LV11961HA/D (546kB)")</f>
        <v>LV11961HA/D (546kB)</v>
      </c>
      <c r="D72" t="s">
        <v>198</v>
      </c>
      <c r="E72" s="2" t="s">
        <v>27</v>
      </c>
      <c r="F72" t="s">
        <v>28</v>
      </c>
      <c r="G72" s="2" t="s">
        <v>33</v>
      </c>
      <c r="H72" s="2"/>
      <c r="I72" t="s">
        <v>32</v>
      </c>
      <c r="J72" t="s">
        <v>32</v>
      </c>
      <c r="K72" s="2" t="s">
        <v>199</v>
      </c>
      <c r="L72" s="2" t="s">
        <v>117</v>
      </c>
      <c r="M72" s="2"/>
      <c r="N72" t="s">
        <v>32</v>
      </c>
      <c r="O72" s="2" t="s">
        <v>33</v>
      </c>
      <c r="P72" s="2"/>
      <c r="Q72" s="2" t="s">
        <v>101</v>
      </c>
      <c r="R72" s="2"/>
      <c r="S72" s="2"/>
      <c r="T72" s="2"/>
      <c r="U72" s="2"/>
      <c r="V72" s="2"/>
      <c r="W72" s="2"/>
      <c r="X72" s="2"/>
      <c r="Y72" s="2" t="s">
        <v>154</v>
      </c>
    </row>
    <row r="73" spans="1:25" ht="25.5" x14ac:dyDescent="0.2">
      <c r="A73" s="5" t="s">
        <v>86</v>
      </c>
      <c r="B73" t="str">
        <f>HYPERLINK("https://www.onsemi.com/PowerSolutions/product.do?id=LV8068V","LV8068V")</f>
        <v>LV8068V</v>
      </c>
      <c r="C73" t="str">
        <f>HYPERLINK("https://www.onsemi.com/pub/Collateral/ENA2143-D.PDF","ENA2143/D (96.0kB)")</f>
        <v>ENA2143/D (96.0kB)</v>
      </c>
      <c r="D73" t="s">
        <v>115</v>
      </c>
      <c r="E73" s="2" t="s">
        <v>27</v>
      </c>
      <c r="F73" t="s">
        <v>28</v>
      </c>
      <c r="G73" s="2" t="s">
        <v>33</v>
      </c>
      <c r="H73" s="2"/>
      <c r="I73" s="2" t="s">
        <v>55</v>
      </c>
      <c r="J73" s="2" t="s">
        <v>99</v>
      </c>
      <c r="K73" s="2" t="s">
        <v>55</v>
      </c>
      <c r="L73" s="2" t="s">
        <v>99</v>
      </c>
      <c r="M73" s="2"/>
      <c r="N73" t="s">
        <v>32</v>
      </c>
      <c r="O73" s="2" t="s">
        <v>62</v>
      </c>
      <c r="P73" s="2"/>
      <c r="Q73" s="2" t="s">
        <v>77</v>
      </c>
      <c r="R73" s="2"/>
      <c r="S73" s="2"/>
      <c r="T73" s="2"/>
      <c r="U73" s="2"/>
      <c r="V73" s="2"/>
      <c r="W73" s="2"/>
      <c r="X73" s="2"/>
      <c r="Y73" s="2" t="s">
        <v>126</v>
      </c>
    </row>
    <row r="74" spans="1:25" ht="25.5" x14ac:dyDescent="0.2">
      <c r="A74" s="5" t="s">
        <v>86</v>
      </c>
      <c r="B74" t="str">
        <f>HYPERLINK("https://www.onsemi.com/PowerSolutions/product.do?id=LV8104V","LV8104V")</f>
        <v>LV8104V</v>
      </c>
      <c r="C74" t="str">
        <f>HYPERLINK("https://www.onsemi.com/pub/Collateral/LV8104V-D.PDF","LV8104V/D (298.0kB)")</f>
        <v>LV8104V/D (298.0kB)</v>
      </c>
      <c r="D74" t="s">
        <v>200</v>
      </c>
      <c r="E74" s="2" t="s">
        <v>27</v>
      </c>
      <c r="F74" t="s">
        <v>28</v>
      </c>
      <c r="G74" s="2" t="s">
        <v>37</v>
      </c>
      <c r="H74" s="2"/>
      <c r="I74" t="s">
        <v>32</v>
      </c>
      <c r="J74" t="s">
        <v>32</v>
      </c>
      <c r="K74" s="2" t="s">
        <v>99</v>
      </c>
      <c r="L74" s="2" t="s">
        <v>143</v>
      </c>
      <c r="M74" s="2"/>
      <c r="N74" s="2" t="s">
        <v>201</v>
      </c>
      <c r="O74" t="s">
        <v>32</v>
      </c>
      <c r="Q74" s="2" t="s">
        <v>147</v>
      </c>
      <c r="R74" s="2"/>
      <c r="S74" s="2"/>
      <c r="T74" s="2"/>
      <c r="U74" s="2"/>
      <c r="V74" s="2"/>
      <c r="W74" s="2"/>
      <c r="X74" s="2"/>
      <c r="Y74" s="2" t="s">
        <v>153</v>
      </c>
    </row>
    <row r="75" spans="1:25" ht="25.5" x14ac:dyDescent="0.2">
      <c r="A75" s="5" t="s">
        <v>86</v>
      </c>
      <c r="B75" t="str">
        <f>HYPERLINK("https://www.onsemi.com/PowerSolutions/product.do?id=LV8105W","LV8105W")</f>
        <v>LV8105W</v>
      </c>
      <c r="C75" t="str">
        <f>HYPERLINK("https://www.onsemi.com/pub/Collateral/LV8105W-D.PDF","LV8105W/D (218kB)")</f>
        <v>LV8105W/D (218kB)</v>
      </c>
      <c r="D75" t="s">
        <v>202</v>
      </c>
      <c r="E75" s="2" t="s">
        <v>27</v>
      </c>
      <c r="F75" t="s">
        <v>28</v>
      </c>
      <c r="G75" s="2" t="s">
        <v>37</v>
      </c>
      <c r="H75" s="2"/>
      <c r="I75" t="s">
        <v>32</v>
      </c>
      <c r="J75" t="s">
        <v>32</v>
      </c>
      <c r="K75" s="2" t="s">
        <v>99</v>
      </c>
      <c r="L75" s="2" t="s">
        <v>143</v>
      </c>
      <c r="M75" s="2"/>
      <c r="N75" s="2" t="s">
        <v>201</v>
      </c>
      <c r="O75" t="s">
        <v>32</v>
      </c>
      <c r="Q75" s="2" t="s">
        <v>147</v>
      </c>
      <c r="R75" s="2"/>
      <c r="S75" s="2"/>
      <c r="T75" s="2"/>
      <c r="U75" s="2"/>
      <c r="V75" s="2"/>
      <c r="W75" s="2"/>
      <c r="X75" s="2"/>
      <c r="Y75" s="2" t="s">
        <v>203</v>
      </c>
    </row>
    <row r="76" spans="1:25" ht="25.5" x14ac:dyDescent="0.2">
      <c r="A76" s="5" t="s">
        <v>86</v>
      </c>
      <c r="B76" t="str">
        <f>HYPERLINK("https://www.onsemi.com/PowerSolutions/product.do?id=LV8111VB","LV8111VB")</f>
        <v>LV8111VB</v>
      </c>
      <c r="C76" t="str">
        <f>HYPERLINK("https://www.onsemi.com/pub/Collateral/LV8111VB-D.PDF","LV8111VB/D (399kB)")</f>
        <v>LV8111VB/D (399kB)</v>
      </c>
      <c r="D76" t="s">
        <v>204</v>
      </c>
      <c r="E76" s="2" t="s">
        <v>27</v>
      </c>
      <c r="F76" t="s">
        <v>28</v>
      </c>
      <c r="G76" s="2" t="s">
        <v>37</v>
      </c>
      <c r="H76" s="2"/>
      <c r="I76" s="2" t="s">
        <v>46</v>
      </c>
      <c r="J76" s="2" t="s">
        <v>205</v>
      </c>
      <c r="K76" s="2" t="s">
        <v>46</v>
      </c>
      <c r="L76" s="2" t="s">
        <v>205</v>
      </c>
      <c r="M76" s="2"/>
      <c r="N76" t="s">
        <v>32</v>
      </c>
      <c r="O76" s="2" t="s">
        <v>37</v>
      </c>
      <c r="P76" s="2"/>
      <c r="Q76" s="2" t="s">
        <v>147</v>
      </c>
      <c r="R76" s="2"/>
      <c r="S76" s="2"/>
      <c r="T76" s="2"/>
      <c r="U76" s="2"/>
      <c r="V76" s="2"/>
      <c r="W76" s="2"/>
      <c r="X76" s="2"/>
      <c r="Y76" s="2" t="s">
        <v>206</v>
      </c>
    </row>
    <row r="77" spans="1:25" ht="25.5" x14ac:dyDescent="0.2">
      <c r="A77" s="5" t="s">
        <v>86</v>
      </c>
      <c r="B77" t="str">
        <f>HYPERLINK("https://www.onsemi.com/PowerSolutions/product.do?id=LV8112VB","LV8112VB")</f>
        <v>LV8112VB</v>
      </c>
      <c r="C77" t="str">
        <f>HYPERLINK("https://www.onsemi.com/pub/Collateral/LV8112VB-D.PDF","LV8112VB/D (445kB)")</f>
        <v>LV8112VB/D (445kB)</v>
      </c>
      <c r="D77" t="s">
        <v>207</v>
      </c>
      <c r="E77" s="2" t="s">
        <v>27</v>
      </c>
      <c r="F77" t="s">
        <v>28</v>
      </c>
      <c r="G77" s="2" t="s">
        <v>37</v>
      </c>
      <c r="H77" s="2"/>
      <c r="I77" s="2" t="s">
        <v>46</v>
      </c>
      <c r="J77" s="2" t="s">
        <v>205</v>
      </c>
      <c r="K77" s="2" t="s">
        <v>46</v>
      </c>
      <c r="L77" s="2" t="s">
        <v>205</v>
      </c>
      <c r="M77" s="2"/>
      <c r="N77" t="s">
        <v>32</v>
      </c>
      <c r="O77" s="2" t="s">
        <v>37</v>
      </c>
      <c r="P77" s="2"/>
      <c r="Q77" s="2" t="s">
        <v>147</v>
      </c>
      <c r="R77" s="2"/>
      <c r="S77" s="2"/>
      <c r="T77" s="2"/>
      <c r="U77" s="2"/>
      <c r="V77" s="2"/>
      <c r="W77" s="2"/>
      <c r="X77" s="2"/>
      <c r="Y77" s="2" t="s">
        <v>206</v>
      </c>
    </row>
    <row r="78" spans="1:25" ht="25.5" x14ac:dyDescent="0.2">
      <c r="A78" s="5" t="s">
        <v>86</v>
      </c>
      <c r="B78" t="str">
        <f>HYPERLINK("https://www.onsemi.com/PowerSolutions/product.do?id=LV8121V","LV8121V")</f>
        <v>LV8121V</v>
      </c>
      <c r="C78" t="str">
        <f>HYPERLINK("https://www.onsemi.com/pub/Collateral/ENA2135-D.PDF","ENA2135/D (223.0kB)")</f>
        <v>ENA2135/D (223.0kB)</v>
      </c>
      <c r="D78" t="s">
        <v>146</v>
      </c>
      <c r="E78" s="2" t="s">
        <v>27</v>
      </c>
      <c r="F78" t="s">
        <v>28</v>
      </c>
      <c r="G78" s="2" t="s">
        <v>37</v>
      </c>
      <c r="H78" s="2"/>
      <c r="I78" s="2" t="s">
        <v>81</v>
      </c>
      <c r="J78" s="2" t="s">
        <v>54</v>
      </c>
      <c r="K78" s="2" t="s">
        <v>81</v>
      </c>
      <c r="L78" s="2" t="s">
        <v>54</v>
      </c>
      <c r="M78" s="2"/>
      <c r="N78" t="s">
        <v>32</v>
      </c>
      <c r="O78" s="2" t="s">
        <v>155</v>
      </c>
      <c r="P78" s="2"/>
      <c r="Q78" s="2" t="s">
        <v>101</v>
      </c>
      <c r="R78" s="2"/>
      <c r="S78" s="2"/>
      <c r="T78" s="2"/>
      <c r="U78" s="2"/>
      <c r="V78" s="2"/>
      <c r="W78" s="2"/>
      <c r="X78" s="2"/>
      <c r="Y78" s="2" t="s">
        <v>206</v>
      </c>
    </row>
    <row r="79" spans="1:25" ht="25.5" x14ac:dyDescent="0.2">
      <c r="A79" s="5" t="s">
        <v>86</v>
      </c>
      <c r="B79" t="str">
        <f>HYPERLINK("https://www.onsemi.com/PowerSolutions/product.do?id=LV8139JA","LV8139JA")</f>
        <v>LV8139JA</v>
      </c>
      <c r="C79" t="str">
        <f>HYPERLINK("https://www.onsemi.com/pub/Collateral/LV8139JA-D.PDF","LV8139JA/D (389kB)")</f>
        <v>LV8139JA/D (389kB)</v>
      </c>
      <c r="D79" t="s">
        <v>208</v>
      </c>
      <c r="E79" s="2" t="s">
        <v>27</v>
      </c>
      <c r="F79" t="s">
        <v>28</v>
      </c>
      <c r="G79" s="2" t="s">
        <v>37</v>
      </c>
      <c r="H79" s="2"/>
      <c r="I79" t="s">
        <v>32</v>
      </c>
      <c r="J79" t="s">
        <v>32</v>
      </c>
      <c r="K79" s="2" t="s">
        <v>142</v>
      </c>
      <c r="L79" s="2" t="s">
        <v>209</v>
      </c>
      <c r="M79" s="2"/>
      <c r="N79" s="2" t="s">
        <v>201</v>
      </c>
      <c r="O79" t="s">
        <v>32</v>
      </c>
      <c r="Q79" s="2" t="s">
        <v>101</v>
      </c>
      <c r="R79" s="2"/>
      <c r="S79" s="2"/>
      <c r="T79" s="2"/>
      <c r="U79" s="2"/>
      <c r="V79" s="2"/>
      <c r="W79" s="2"/>
      <c r="X79" s="2"/>
      <c r="Y79" s="2" t="s">
        <v>133</v>
      </c>
    </row>
    <row r="80" spans="1:25" ht="25.5" x14ac:dyDescent="0.2">
      <c r="A80" s="5" t="s">
        <v>86</v>
      </c>
      <c r="B80" t="str">
        <f>HYPERLINK("https://www.onsemi.com/PowerSolutions/product.do?id=LV8161MU","LV8161MU")</f>
        <v>LV8161MU</v>
      </c>
      <c r="C80" t="str">
        <f>HYPERLINK("https://www.onsemi.com/pub/Collateral/ENA2311-D.PDF","ENA2311/D (586kB)")</f>
        <v>ENA2311/D (586kB)</v>
      </c>
      <c r="D80" t="s">
        <v>210</v>
      </c>
      <c r="E80" s="2" t="s">
        <v>27</v>
      </c>
      <c r="F80" t="s">
        <v>28</v>
      </c>
      <c r="G80" s="2" t="s">
        <v>33</v>
      </c>
      <c r="H80" s="2"/>
      <c r="I80" s="2" t="s">
        <v>29</v>
      </c>
      <c r="J80" s="2" t="s">
        <v>57</v>
      </c>
      <c r="K80" s="2" t="s">
        <v>29</v>
      </c>
      <c r="L80" s="2" t="s">
        <v>57</v>
      </c>
      <c r="M80" s="2"/>
      <c r="N80" s="2" t="s">
        <v>110</v>
      </c>
      <c r="O80" t="s">
        <v>32</v>
      </c>
      <c r="Q80" s="2" t="s">
        <v>101</v>
      </c>
      <c r="R80" s="2"/>
      <c r="S80" s="2"/>
      <c r="T80" s="2"/>
      <c r="U80" s="2"/>
      <c r="V80" s="2"/>
      <c r="W80" s="2"/>
      <c r="X80" s="2"/>
      <c r="Y80" s="2" t="s">
        <v>211</v>
      </c>
    </row>
    <row r="81" spans="1:25" ht="25.5" x14ac:dyDescent="0.2">
      <c r="A81" s="5" t="s">
        <v>86</v>
      </c>
      <c r="B81" t="str">
        <f>HYPERLINK("https://www.onsemi.com/PowerSolutions/product.do?id=LV8163QA","LV8163QA")</f>
        <v>LV8163QA</v>
      </c>
      <c r="C81" t="str">
        <f>HYPERLINK("https://www.onsemi.com/pub/Collateral/ENA2065-D.PDF","ENA2065/D (364.0kB)")</f>
        <v>ENA2065/D (364.0kB)</v>
      </c>
      <c r="D81" t="s">
        <v>115</v>
      </c>
      <c r="E81" s="2" t="s">
        <v>27</v>
      </c>
      <c r="F81" t="s">
        <v>28</v>
      </c>
      <c r="G81" s="2" t="s">
        <v>33</v>
      </c>
      <c r="H81" s="2"/>
      <c r="I81" s="2" t="s">
        <v>29</v>
      </c>
      <c r="J81" s="2" t="s">
        <v>57</v>
      </c>
      <c r="K81" s="2" t="s">
        <v>29</v>
      </c>
      <c r="L81" s="2" t="s">
        <v>57</v>
      </c>
      <c r="M81" s="2"/>
      <c r="N81" t="s">
        <v>32</v>
      </c>
      <c r="O81" s="2" t="s">
        <v>110</v>
      </c>
      <c r="P81" s="2"/>
      <c r="Q81" s="2" t="s">
        <v>77</v>
      </c>
      <c r="R81" s="2"/>
      <c r="S81" s="2"/>
      <c r="T81" s="2"/>
      <c r="U81" s="2"/>
      <c r="V81" s="2"/>
      <c r="W81" s="2"/>
      <c r="X81" s="2"/>
      <c r="Y81" s="2" t="s">
        <v>211</v>
      </c>
    </row>
    <row r="82" spans="1:25" ht="25.5" x14ac:dyDescent="0.2">
      <c r="A82" s="5" t="s">
        <v>86</v>
      </c>
      <c r="B82" t="str">
        <f>HYPERLINK("https://www.onsemi.com/PowerSolutions/product.do?id=LV8316H","LV8316H")</f>
        <v>LV8316H</v>
      </c>
      <c r="C82" t="str">
        <f>HYPERLINK("https://www.onsemi.com/pub/Collateral/LV8316H-D.PDF","LV8316H/D (2019kB)")</f>
        <v>LV8316H/D (2019kB)</v>
      </c>
      <c r="D82" t="s">
        <v>212</v>
      </c>
      <c r="E82" s="2" t="s">
        <v>27</v>
      </c>
      <c r="F82" t="s">
        <v>28</v>
      </c>
      <c r="G82" s="2" t="s">
        <v>33</v>
      </c>
      <c r="H82" s="2"/>
      <c r="I82" t="s">
        <v>32</v>
      </c>
      <c r="J82" t="s">
        <v>32</v>
      </c>
      <c r="K82" s="2" t="s">
        <v>94</v>
      </c>
      <c r="L82" s="2" t="s">
        <v>95</v>
      </c>
      <c r="M82" s="2"/>
      <c r="N82" s="2" t="s">
        <v>21</v>
      </c>
      <c r="O82" t="s">
        <v>32</v>
      </c>
      <c r="Q82" s="2" t="s">
        <v>77</v>
      </c>
      <c r="R82" s="2"/>
      <c r="S82" s="2"/>
      <c r="T82" s="2"/>
      <c r="U82" s="2"/>
      <c r="V82" s="2"/>
      <c r="W82" s="2"/>
      <c r="X82" s="2"/>
      <c r="Y82" s="2" t="s">
        <v>213</v>
      </c>
    </row>
    <row r="83" spans="1:25" ht="25.5" x14ac:dyDescent="0.2">
      <c r="A83" s="5" t="s">
        <v>86</v>
      </c>
      <c r="B83" t="str">
        <f>HYPERLINK("https://www.onsemi.com/PowerSolutions/product.do?id=LV8804FV","LV8804FV")</f>
        <v>LV8804FV</v>
      </c>
      <c r="C83" t="str">
        <f>HYPERLINK("https://www.onsemi.com/pub/Collateral/LV8804FV-D.PDF","LV8804FV/D (233.0kB)")</f>
        <v>LV8804FV/D (233.0kB)</v>
      </c>
      <c r="D83" t="s">
        <v>214</v>
      </c>
      <c r="E83" s="2" t="s">
        <v>27</v>
      </c>
      <c r="F83" t="s">
        <v>28</v>
      </c>
      <c r="G83" s="2" t="s">
        <v>37</v>
      </c>
      <c r="H83" s="2"/>
      <c r="I83" s="2" t="s">
        <v>57</v>
      </c>
      <c r="J83" s="2" t="s">
        <v>124</v>
      </c>
      <c r="K83" s="2" t="s">
        <v>57</v>
      </c>
      <c r="L83" s="2" t="s">
        <v>124</v>
      </c>
      <c r="M83" s="2"/>
      <c r="N83" t="s">
        <v>32</v>
      </c>
      <c r="O83" s="2" t="s">
        <v>62</v>
      </c>
      <c r="P83" s="2"/>
      <c r="Q83" s="2" t="s">
        <v>101</v>
      </c>
      <c r="R83" s="2"/>
      <c r="S83" s="2"/>
      <c r="T83" s="2"/>
      <c r="U83" s="2"/>
      <c r="V83" s="2"/>
      <c r="W83" s="2"/>
      <c r="X83" s="2"/>
      <c r="Y83" s="2" t="s">
        <v>137</v>
      </c>
    </row>
    <row r="84" spans="1:25" ht="25.5" x14ac:dyDescent="0.2">
      <c r="A84" s="5" t="s">
        <v>86</v>
      </c>
      <c r="B84" t="str">
        <f>HYPERLINK("https://www.onsemi.com/PowerSolutions/product.do?id=LV8805SV","LV8805SV")</f>
        <v>LV8805SV</v>
      </c>
      <c r="C84" t="str">
        <f>HYPERLINK("https://www.onsemi.com/pub/Collateral/LV8805SV-D.PDF","LV8805SV/D (371kB)")</f>
        <v>LV8805SV/D (371kB)</v>
      </c>
      <c r="D84" t="s">
        <v>214</v>
      </c>
      <c r="E84" s="2" t="s">
        <v>27</v>
      </c>
      <c r="F84" t="s">
        <v>28</v>
      </c>
      <c r="G84" s="2" t="s">
        <v>37</v>
      </c>
      <c r="H84" s="2"/>
      <c r="I84" s="2" t="s">
        <v>57</v>
      </c>
      <c r="J84" s="2" t="s">
        <v>124</v>
      </c>
      <c r="K84" s="2" t="s">
        <v>57</v>
      </c>
      <c r="L84" s="2" t="s">
        <v>124</v>
      </c>
      <c r="M84" s="2"/>
      <c r="N84" t="s">
        <v>32</v>
      </c>
      <c r="O84" s="2" t="s">
        <v>62</v>
      </c>
      <c r="P84" s="2"/>
      <c r="Q84" s="2" t="s">
        <v>77</v>
      </c>
      <c r="R84" s="2"/>
      <c r="S84" s="2"/>
      <c r="T84" s="2"/>
      <c r="U84" s="2"/>
      <c r="V84" s="2"/>
      <c r="W84" s="2"/>
      <c r="X84" s="2"/>
      <c r="Y84" s="2" t="s">
        <v>137</v>
      </c>
    </row>
    <row r="85" spans="1:25" ht="25.5" x14ac:dyDescent="0.2">
      <c r="A85" s="5" t="s">
        <v>86</v>
      </c>
      <c r="B85" t="str">
        <f>HYPERLINK("https://www.onsemi.com/PowerSolutions/product.do?id=LV8806QA","LV8806QA")</f>
        <v>LV8806QA</v>
      </c>
      <c r="C85" t="str">
        <f>HYPERLINK("https://www.onsemi.com/pub/Collateral/LV8806QA-D.PDF","LV8806QA/D (347kB)")</f>
        <v>LV8806QA/D (347kB)</v>
      </c>
      <c r="D85" t="s">
        <v>215</v>
      </c>
      <c r="E85" s="2" t="s">
        <v>27</v>
      </c>
      <c r="F85" t="s">
        <v>28</v>
      </c>
      <c r="G85" s="2" t="s">
        <v>37</v>
      </c>
      <c r="H85" s="2"/>
      <c r="I85" s="2" t="s">
        <v>21</v>
      </c>
      <c r="J85" s="2" t="s">
        <v>57</v>
      </c>
      <c r="K85" s="2" t="s">
        <v>21</v>
      </c>
      <c r="L85" s="2" t="s">
        <v>57</v>
      </c>
      <c r="M85" s="2"/>
      <c r="N85" t="s">
        <v>32</v>
      </c>
      <c r="O85" s="2" t="s">
        <v>110</v>
      </c>
      <c r="P85" s="2"/>
      <c r="Q85" s="2" t="s">
        <v>77</v>
      </c>
      <c r="R85" s="2"/>
      <c r="S85" s="2"/>
      <c r="T85" s="2"/>
      <c r="U85" s="2"/>
      <c r="V85" s="2"/>
      <c r="W85" s="2"/>
      <c r="X85" s="2"/>
      <c r="Y85" s="2" t="s">
        <v>216</v>
      </c>
    </row>
    <row r="86" spans="1:25" ht="25.5" x14ac:dyDescent="0.2">
      <c r="A86" s="5" t="s">
        <v>86</v>
      </c>
      <c r="B86" t="str">
        <f>HYPERLINK("https://www.onsemi.com/PowerSolutions/product.do?id=LV8811G","LV8811G")</f>
        <v>LV8811G</v>
      </c>
      <c r="C86" t="str">
        <f>HYPERLINK("https://www.onsemi.com/pub/Collateral/LV8811G_LV8813G-D.PDF","LV8811G_LV8813G/D (1997kB)")</f>
        <v>LV8811G_LV8813G/D (1997kB)</v>
      </c>
      <c r="D86" t="s">
        <v>217</v>
      </c>
      <c r="E86" s="2" t="s">
        <v>27</v>
      </c>
      <c r="F86" t="s">
        <v>28</v>
      </c>
      <c r="G86" s="2" t="s">
        <v>37</v>
      </c>
      <c r="H86" s="2"/>
      <c r="I86" s="2" t="s">
        <v>199</v>
      </c>
      <c r="J86" s="2" t="s">
        <v>99</v>
      </c>
      <c r="K86" s="2" t="s">
        <v>199</v>
      </c>
      <c r="L86" s="2" t="s">
        <v>99</v>
      </c>
      <c r="M86" s="2"/>
      <c r="N86" t="s">
        <v>32</v>
      </c>
      <c r="O86" s="2" t="s">
        <v>21</v>
      </c>
      <c r="P86" s="2"/>
      <c r="Q86" s="2" t="s">
        <v>132</v>
      </c>
      <c r="R86" s="2"/>
      <c r="S86" s="2"/>
      <c r="T86" s="2"/>
      <c r="U86" s="2"/>
      <c r="V86" s="2"/>
      <c r="W86" s="2"/>
      <c r="X86" s="2"/>
      <c r="Y86" s="2" t="s">
        <v>56</v>
      </c>
    </row>
    <row r="87" spans="1:25" ht="25.5" x14ac:dyDescent="0.2">
      <c r="A87" s="5" t="s">
        <v>86</v>
      </c>
      <c r="B87" t="str">
        <f>HYPERLINK("https://www.onsemi.com/PowerSolutions/product.do?id=LV8813G","LV8813G")</f>
        <v>LV8813G</v>
      </c>
      <c r="C87" t="str">
        <f>HYPERLINK("https://www.onsemi.com/pub/Collateral/LV8811G_LV8813G-D.PDF","LV8811G_LV8813G/D (1997kB)")</f>
        <v>LV8811G_LV8813G/D (1997kB)</v>
      </c>
      <c r="D87" t="s">
        <v>217</v>
      </c>
      <c r="E87" s="2" t="s">
        <v>27</v>
      </c>
      <c r="F87" t="s">
        <v>28</v>
      </c>
      <c r="G87" s="2" t="s">
        <v>37</v>
      </c>
      <c r="H87" s="2"/>
      <c r="I87" s="2" t="s">
        <v>57</v>
      </c>
      <c r="J87" s="2" t="s">
        <v>99</v>
      </c>
      <c r="K87" s="2" t="s">
        <v>57</v>
      </c>
      <c r="L87" s="2" t="s">
        <v>99</v>
      </c>
      <c r="M87" s="2"/>
      <c r="N87" t="s">
        <v>32</v>
      </c>
      <c r="O87" s="2" t="s">
        <v>21</v>
      </c>
      <c r="P87" s="2"/>
      <c r="Q87" s="2" t="s">
        <v>132</v>
      </c>
      <c r="R87" s="2"/>
      <c r="S87" s="2"/>
      <c r="T87" s="2"/>
      <c r="U87" s="2"/>
      <c r="V87" s="2"/>
      <c r="W87" s="2"/>
      <c r="X87" s="2"/>
      <c r="Y87" s="2" t="s">
        <v>56</v>
      </c>
    </row>
    <row r="88" spans="1:25" ht="25.5" x14ac:dyDescent="0.2">
      <c r="A88" s="5" t="s">
        <v>86</v>
      </c>
      <c r="B88" t="str">
        <f>HYPERLINK("https://www.onsemi.com/PowerSolutions/product.do?id=LV8814J","LV8814J")</f>
        <v>LV8814J</v>
      </c>
      <c r="C88" t="str">
        <f>HYPERLINK("https://www.onsemi.com/pub/Collateral/LV8811G_LV8813G_LV8814J-D.PDF","LV8811G_LV8813G_LV8814J/D (2100kB)")</f>
        <v>LV8811G_LV8813G_LV8814J/D (2100kB)</v>
      </c>
      <c r="D88" t="s">
        <v>217</v>
      </c>
      <c r="E88" s="2" t="s">
        <v>27</v>
      </c>
      <c r="F88" t="s">
        <v>28</v>
      </c>
      <c r="G88" s="2" t="s">
        <v>37</v>
      </c>
      <c r="H88" s="2"/>
      <c r="I88" s="2" t="s">
        <v>199</v>
      </c>
      <c r="J88" s="2" t="s">
        <v>99</v>
      </c>
      <c r="K88" s="2" t="s">
        <v>199</v>
      </c>
      <c r="L88" s="2" t="s">
        <v>99</v>
      </c>
      <c r="M88" s="2"/>
      <c r="N88" t="s">
        <v>32</v>
      </c>
      <c r="O88" s="2" t="s">
        <v>21</v>
      </c>
      <c r="P88" s="2"/>
      <c r="Q88" s="2" t="s">
        <v>132</v>
      </c>
      <c r="R88" s="2"/>
      <c r="S88" s="2"/>
      <c r="T88" s="2"/>
      <c r="U88" s="2"/>
      <c r="V88" s="2"/>
      <c r="W88" s="2"/>
      <c r="X88" s="2"/>
      <c r="Y88" s="2" t="s">
        <v>42</v>
      </c>
    </row>
    <row r="89" spans="1:25" ht="25.5" x14ac:dyDescent="0.2">
      <c r="A89" s="5" t="s">
        <v>86</v>
      </c>
      <c r="B89" t="str">
        <f>HYPERLINK("https://www.onsemi.com/PowerSolutions/product.do?id=LV8824QA","LV8824QA")</f>
        <v>LV8824QA</v>
      </c>
      <c r="C89" t="str">
        <f>HYPERLINK("https://www.onsemi.com/pub/Collateral/ENA2083-D.PDF","ENA2083/D (903.0kB)")</f>
        <v>ENA2083/D (903.0kB)</v>
      </c>
      <c r="D89" t="s">
        <v>218</v>
      </c>
      <c r="E89" s="2" t="s">
        <v>27</v>
      </c>
      <c r="F89" t="s">
        <v>28</v>
      </c>
      <c r="G89" s="2" t="s">
        <v>37</v>
      </c>
      <c r="H89" s="2"/>
      <c r="I89" t="s">
        <v>32</v>
      </c>
      <c r="J89" t="s">
        <v>32</v>
      </c>
      <c r="K89" s="2" t="s">
        <v>161</v>
      </c>
      <c r="L89" s="2" t="s">
        <v>219</v>
      </c>
      <c r="M89" s="2"/>
      <c r="N89" t="s">
        <v>32</v>
      </c>
      <c r="O89" s="2" t="s">
        <v>96</v>
      </c>
      <c r="P89" s="2"/>
      <c r="Q89" s="2" t="s">
        <v>77</v>
      </c>
      <c r="R89" s="2"/>
      <c r="S89" s="2"/>
      <c r="T89" s="2"/>
      <c r="U89" s="2"/>
      <c r="V89" s="2"/>
      <c r="W89" s="2"/>
      <c r="X89" s="2"/>
      <c r="Y89" s="2" t="s">
        <v>220</v>
      </c>
    </row>
    <row r="90" spans="1:25" ht="25.5" x14ac:dyDescent="0.2">
      <c r="A90" s="5" t="s">
        <v>86</v>
      </c>
      <c r="B90" t="str">
        <f>HYPERLINK("https://www.onsemi.com/PowerSolutions/product.do?id=LV8827LFQA","LV8827LFQA")</f>
        <v>LV8827LFQA</v>
      </c>
      <c r="C90" t="str">
        <f>HYPERLINK("https://www.onsemi.com/pub/Collateral/ENA2058-D.PDF","ENA2058/D (226.0kB)")</f>
        <v>ENA2058/D (226.0kB)</v>
      </c>
      <c r="D90" t="s">
        <v>221</v>
      </c>
      <c r="E90" s="2" t="s">
        <v>27</v>
      </c>
      <c r="F90" t="s">
        <v>28</v>
      </c>
      <c r="G90" s="2" t="s">
        <v>37</v>
      </c>
      <c r="H90" s="2"/>
      <c r="I90" s="2" t="s">
        <v>81</v>
      </c>
      <c r="J90" s="2" t="s">
        <v>54</v>
      </c>
      <c r="K90" s="2" t="s">
        <v>81</v>
      </c>
      <c r="L90" s="2" t="s">
        <v>54</v>
      </c>
      <c r="M90" s="2"/>
      <c r="N90" t="s">
        <v>32</v>
      </c>
      <c r="O90" s="2" t="s">
        <v>125</v>
      </c>
      <c r="P90" s="2"/>
      <c r="Q90" s="2" t="s">
        <v>77</v>
      </c>
      <c r="R90" s="2"/>
      <c r="S90" s="2"/>
      <c r="T90" s="2"/>
      <c r="U90" s="2"/>
      <c r="V90" s="2"/>
      <c r="W90" s="2"/>
      <c r="X90" s="2"/>
      <c r="Y90" s="2" t="s">
        <v>222</v>
      </c>
    </row>
    <row r="91" spans="1:25" ht="25.5" x14ac:dyDescent="0.2">
      <c r="A91" s="5" t="s">
        <v>86</v>
      </c>
      <c r="B91" t="str">
        <f>HYPERLINK("https://www.onsemi.com/PowerSolutions/product.do?id=LV88551","LV88551")</f>
        <v>LV88551</v>
      </c>
      <c r="C91" t="str">
        <f>HYPERLINK("https://www.onsemi.com/pub/Collateral/LV88551-D.PDF","LV88551/D (771kB)")</f>
        <v>LV88551/D (771kB)</v>
      </c>
      <c r="D91" t="s">
        <v>212</v>
      </c>
      <c r="E91" s="2" t="s">
        <v>27</v>
      </c>
      <c r="F91" t="s">
        <v>28</v>
      </c>
      <c r="G91" s="2" t="s">
        <v>33</v>
      </c>
      <c r="H91" s="2"/>
      <c r="I91" t="s">
        <v>32</v>
      </c>
      <c r="J91" t="s">
        <v>32</v>
      </c>
      <c r="K91" s="2" t="s">
        <v>94</v>
      </c>
      <c r="L91" s="2" t="s">
        <v>95</v>
      </c>
      <c r="M91" s="2"/>
      <c r="N91" s="2" t="s">
        <v>96</v>
      </c>
      <c r="O91" s="2" t="s">
        <v>90</v>
      </c>
      <c r="P91" s="2"/>
      <c r="Q91" s="2" t="s">
        <v>77</v>
      </c>
      <c r="R91" s="2"/>
      <c r="S91" s="2"/>
      <c r="T91" s="2"/>
      <c r="U91" s="2"/>
      <c r="V91" s="2"/>
      <c r="W91" s="2"/>
      <c r="X91" s="2"/>
      <c r="Y91" s="2" t="s">
        <v>223</v>
      </c>
    </row>
    <row r="92" spans="1:25" ht="25.5" x14ac:dyDescent="0.2">
      <c r="A92" s="5" t="s">
        <v>86</v>
      </c>
      <c r="B92" t="str">
        <f>HYPERLINK("https://www.onsemi.com/PowerSolutions/product.do?id=LV88552","LV88552")</f>
        <v>LV88552</v>
      </c>
      <c r="C92" t="str">
        <f>HYPERLINK("https://www.onsemi.com/pub/Collateral/LV88551-D.PDF","LV88551/D (771kB)")</f>
        <v>LV88551/D (771kB)</v>
      </c>
      <c r="D92" t="s">
        <v>212</v>
      </c>
      <c r="E92" s="2" t="s">
        <v>27</v>
      </c>
      <c r="F92" t="s">
        <v>28</v>
      </c>
      <c r="G92" s="2" t="s">
        <v>33</v>
      </c>
      <c r="H92" s="2"/>
      <c r="I92" t="s">
        <v>32</v>
      </c>
      <c r="J92" t="s">
        <v>32</v>
      </c>
      <c r="K92" s="2" t="s">
        <v>94</v>
      </c>
      <c r="L92" s="2" t="s">
        <v>95</v>
      </c>
      <c r="M92" s="2"/>
      <c r="N92" s="2" t="s">
        <v>96</v>
      </c>
      <c r="O92" s="2" t="s">
        <v>90</v>
      </c>
      <c r="P92" s="2"/>
      <c r="Q92" s="2" t="s">
        <v>77</v>
      </c>
      <c r="R92" s="2"/>
      <c r="S92" s="2"/>
      <c r="T92" s="2"/>
      <c r="U92" s="2"/>
      <c r="V92" s="2"/>
      <c r="W92" s="2"/>
      <c r="X92" s="2"/>
      <c r="Y92" s="2" t="s">
        <v>223</v>
      </c>
    </row>
    <row r="93" spans="1:25" ht="25.5" x14ac:dyDescent="0.2">
      <c r="A93" s="5" t="s">
        <v>86</v>
      </c>
      <c r="B93" t="str">
        <f>HYPERLINK("https://www.onsemi.com/PowerSolutions/product.do?id=LV88553","LV88553")</f>
        <v>LV88553</v>
      </c>
      <c r="C93" t="str">
        <f>HYPERLINK("https://www.onsemi.com/pub/Collateral/LV88551-D.PDF","LV88551/D (771kB)")</f>
        <v>LV88551/D (771kB)</v>
      </c>
      <c r="D93" t="s">
        <v>212</v>
      </c>
      <c r="E93" s="2" t="s">
        <v>27</v>
      </c>
      <c r="F93" t="s">
        <v>28</v>
      </c>
      <c r="G93" s="2" t="s">
        <v>33</v>
      </c>
      <c r="H93" s="2"/>
      <c r="I93" t="s">
        <v>32</v>
      </c>
      <c r="J93" t="s">
        <v>32</v>
      </c>
      <c r="K93" s="2" t="s">
        <v>94</v>
      </c>
      <c r="L93" s="2" t="s">
        <v>95</v>
      </c>
      <c r="M93" s="2"/>
      <c r="N93" s="2" t="s">
        <v>96</v>
      </c>
      <c r="O93" s="2" t="s">
        <v>90</v>
      </c>
      <c r="P93" s="2"/>
      <c r="Q93" s="2" t="s">
        <v>77</v>
      </c>
      <c r="R93" s="2"/>
      <c r="S93" s="2"/>
      <c r="T93" s="2"/>
      <c r="U93" s="2"/>
      <c r="V93" s="2"/>
      <c r="W93" s="2"/>
      <c r="X93" s="2"/>
      <c r="Y93" s="2" t="s">
        <v>223</v>
      </c>
    </row>
    <row r="94" spans="1:25" ht="25.5" x14ac:dyDescent="0.2">
      <c r="A94" s="5" t="s">
        <v>86</v>
      </c>
      <c r="B94" t="str">
        <f>HYPERLINK("https://www.onsemi.com/PowerSolutions/product.do?id=LV88554","LV88554")</f>
        <v>LV88554</v>
      </c>
      <c r="C94" t="str">
        <f>HYPERLINK("https://www.onsemi.com/pub/Collateral/LV88551-D.PDF","LV88551/D (771kB)")</f>
        <v>LV88551/D (771kB)</v>
      </c>
      <c r="D94" t="s">
        <v>212</v>
      </c>
      <c r="E94" s="2" t="s">
        <v>27</v>
      </c>
      <c r="F94" t="s">
        <v>28</v>
      </c>
      <c r="G94" s="2" t="s">
        <v>33</v>
      </c>
      <c r="H94" s="2"/>
      <c r="I94" t="s">
        <v>32</v>
      </c>
      <c r="J94" t="s">
        <v>32</v>
      </c>
      <c r="K94" s="2" t="s">
        <v>94</v>
      </c>
      <c r="L94" s="2" t="s">
        <v>95</v>
      </c>
      <c r="M94" s="2"/>
      <c r="N94" s="2" t="s">
        <v>96</v>
      </c>
      <c r="O94" s="2" t="s">
        <v>90</v>
      </c>
      <c r="P94" s="2"/>
      <c r="Q94" s="2" t="s">
        <v>77</v>
      </c>
      <c r="R94" s="2"/>
      <c r="S94" s="2"/>
      <c r="T94" s="2"/>
      <c r="U94" s="2"/>
      <c r="V94" s="2"/>
      <c r="W94" s="2"/>
      <c r="X94" s="2"/>
      <c r="Y94" s="2" t="s">
        <v>223</v>
      </c>
    </row>
    <row r="95" spans="1:25" ht="25.5" x14ac:dyDescent="0.2">
      <c r="A95" s="5" t="s">
        <v>86</v>
      </c>
      <c r="B95" t="str">
        <f>HYPERLINK("https://www.onsemi.com/PowerSolutions/product.do?id=LV88561","LV88561")</f>
        <v>LV88561</v>
      </c>
      <c r="C95" t="str">
        <f>HYPERLINK("https://www.onsemi.com/pub/Collateral/LV88561-D.PDF","LV88561/D (845kB)")</f>
        <v>LV88561/D (845kB)</v>
      </c>
      <c r="D95" t="s">
        <v>224</v>
      </c>
      <c r="E95" s="2" t="s">
        <v>27</v>
      </c>
      <c r="F95" t="s">
        <v>28</v>
      </c>
      <c r="G95" s="2" t="s">
        <v>33</v>
      </c>
      <c r="H95" s="2"/>
      <c r="I95" t="s">
        <v>32</v>
      </c>
      <c r="J95" t="s">
        <v>32</v>
      </c>
      <c r="K95" s="2" t="s">
        <v>94</v>
      </c>
      <c r="L95" s="2" t="s">
        <v>95</v>
      </c>
      <c r="M95" s="2"/>
      <c r="N95" s="2" t="s">
        <v>96</v>
      </c>
      <c r="O95" s="2" t="s">
        <v>90</v>
      </c>
      <c r="P95" s="2"/>
      <c r="Q95" s="2" t="s">
        <v>77</v>
      </c>
      <c r="R95" s="2"/>
      <c r="S95" s="2"/>
      <c r="T95" s="2"/>
      <c r="U95" s="2"/>
      <c r="V95" s="2"/>
      <c r="W95" s="2"/>
      <c r="X95" s="2"/>
      <c r="Y95" s="2" t="s">
        <v>223</v>
      </c>
    </row>
    <row r="96" spans="1:25" ht="25.5" x14ac:dyDescent="0.2">
      <c r="A96" s="5" t="s">
        <v>86</v>
      </c>
      <c r="B96" t="str">
        <f>HYPERLINK("https://www.onsemi.com/PowerSolutions/product.do?id=LV88562","LV88562")</f>
        <v>LV88562</v>
      </c>
      <c r="C96" t="str">
        <f>HYPERLINK("https://www.onsemi.com/pub/Collateral/LV88561-D.PDF","LV88561/D (845kB)")</f>
        <v>LV88561/D (845kB)</v>
      </c>
      <c r="D96" t="s">
        <v>224</v>
      </c>
      <c r="E96" s="2" t="s">
        <v>27</v>
      </c>
      <c r="F96" t="s">
        <v>28</v>
      </c>
      <c r="G96" s="2" t="s">
        <v>33</v>
      </c>
      <c r="H96" s="2"/>
      <c r="I96" t="s">
        <v>32</v>
      </c>
      <c r="J96" t="s">
        <v>32</v>
      </c>
      <c r="K96" s="2" t="s">
        <v>94</v>
      </c>
      <c r="L96" s="2" t="s">
        <v>95</v>
      </c>
      <c r="M96" s="2"/>
      <c r="N96" s="2" t="s">
        <v>96</v>
      </c>
      <c r="O96" s="2" t="s">
        <v>90</v>
      </c>
      <c r="P96" s="2"/>
      <c r="Q96" s="2" t="s">
        <v>77</v>
      </c>
      <c r="R96" s="2"/>
      <c r="S96" s="2"/>
      <c r="T96" s="2"/>
      <c r="U96" s="2"/>
      <c r="V96" s="2"/>
      <c r="W96" s="2"/>
      <c r="X96" s="2"/>
      <c r="Y96" s="2" t="s">
        <v>223</v>
      </c>
    </row>
    <row r="97" spans="1:25" ht="25.5" x14ac:dyDescent="0.2">
      <c r="A97" s="5" t="s">
        <v>86</v>
      </c>
      <c r="B97" t="str">
        <f>HYPERLINK("https://www.onsemi.com/PowerSolutions/product.do?id=LV88563","LV88563")</f>
        <v>LV88563</v>
      </c>
      <c r="C97" t="str">
        <f>HYPERLINK("https://www.onsemi.com/pub/Collateral/LV88561-D.PDF","LV88561/D (845kB)")</f>
        <v>LV88561/D (845kB)</v>
      </c>
      <c r="D97" t="s">
        <v>224</v>
      </c>
      <c r="E97" s="2" t="s">
        <v>27</v>
      </c>
      <c r="F97" t="s">
        <v>28</v>
      </c>
      <c r="G97" s="2" t="s">
        <v>33</v>
      </c>
      <c r="H97" s="2"/>
      <c r="I97" t="s">
        <v>32</v>
      </c>
      <c r="J97" t="s">
        <v>32</v>
      </c>
      <c r="K97" s="2" t="s">
        <v>94</v>
      </c>
      <c r="L97" s="2" t="s">
        <v>95</v>
      </c>
      <c r="M97" s="2"/>
      <c r="N97" s="2" t="s">
        <v>96</v>
      </c>
      <c r="O97" s="2" t="s">
        <v>90</v>
      </c>
      <c r="P97" s="2"/>
      <c r="Q97" s="2" t="s">
        <v>77</v>
      </c>
      <c r="R97" s="2"/>
      <c r="S97" s="2"/>
      <c r="T97" s="2"/>
      <c r="U97" s="2"/>
      <c r="V97" s="2"/>
      <c r="W97" s="2"/>
      <c r="X97" s="2"/>
      <c r="Y97" s="2" t="s">
        <v>223</v>
      </c>
    </row>
    <row r="98" spans="1:25" ht="25.5" x14ac:dyDescent="0.2">
      <c r="A98" s="5" t="s">
        <v>86</v>
      </c>
      <c r="B98" t="str">
        <f>HYPERLINK("https://www.onsemi.com/PowerSolutions/product.do?id=LV88564","LV88564")</f>
        <v>LV88564</v>
      </c>
      <c r="C98" t="str">
        <f>HYPERLINK("https://www.onsemi.com/pub/Collateral/LV88561-D.PDF","LV88561/D (845kB)")</f>
        <v>LV88561/D (845kB)</v>
      </c>
      <c r="D98" t="s">
        <v>224</v>
      </c>
      <c r="E98" s="2" t="s">
        <v>27</v>
      </c>
      <c r="F98" t="s">
        <v>28</v>
      </c>
      <c r="G98" s="2" t="s">
        <v>33</v>
      </c>
      <c r="H98" s="2"/>
      <c r="I98" t="s">
        <v>32</v>
      </c>
      <c r="J98" t="s">
        <v>32</v>
      </c>
      <c r="K98" s="2" t="s">
        <v>94</v>
      </c>
      <c r="L98" s="2" t="s">
        <v>95</v>
      </c>
      <c r="M98" s="2"/>
      <c r="N98" s="2" t="s">
        <v>96</v>
      </c>
      <c r="O98" s="2" t="s">
        <v>90</v>
      </c>
      <c r="P98" s="2"/>
      <c r="Q98" s="2" t="s">
        <v>77</v>
      </c>
      <c r="R98" s="2"/>
      <c r="S98" s="2"/>
      <c r="T98" s="2"/>
      <c r="U98" s="2"/>
      <c r="V98" s="2"/>
      <c r="W98" s="2"/>
      <c r="X98" s="2"/>
      <c r="Y98" s="2" t="s">
        <v>223</v>
      </c>
    </row>
    <row r="99" spans="1:25" ht="25.5" x14ac:dyDescent="0.2">
      <c r="A99" s="5" t="s">
        <v>86</v>
      </c>
      <c r="B99" t="str">
        <f>HYPERLINK("https://www.onsemi.com/PowerSolutions/product.do?id=LV8860V","LV8860V")</f>
        <v>LV8860V</v>
      </c>
      <c r="C99" t="str">
        <f>HYPERLINK("https://www.onsemi.com/pub/Collateral/ENA1818-D.PDF","ENA1818/D (199.0kB)")</f>
        <v>ENA1818/D (199.0kB)</v>
      </c>
      <c r="D99" t="s">
        <v>225</v>
      </c>
      <c r="E99" s="2" t="s">
        <v>27</v>
      </c>
      <c r="F99" t="s">
        <v>28</v>
      </c>
      <c r="G99" s="2" t="s">
        <v>33</v>
      </c>
      <c r="H99" s="2"/>
      <c r="I99" s="2" t="s">
        <v>57</v>
      </c>
      <c r="J99" s="2" t="s">
        <v>226</v>
      </c>
      <c r="K99" s="2" t="s">
        <v>57</v>
      </c>
      <c r="L99" s="2" t="s">
        <v>226</v>
      </c>
      <c r="M99" s="2"/>
      <c r="N99" t="s">
        <v>32</v>
      </c>
      <c r="O99" s="2" t="s">
        <v>110</v>
      </c>
      <c r="P99" s="2"/>
      <c r="Q99" s="2" t="s">
        <v>77</v>
      </c>
      <c r="R99" s="2"/>
      <c r="S99" s="2"/>
      <c r="T99" s="2"/>
      <c r="U99" s="2"/>
      <c r="V99" s="2"/>
      <c r="W99" s="2"/>
      <c r="X99" s="2"/>
      <c r="Y99" s="2" t="s">
        <v>126</v>
      </c>
    </row>
    <row r="100" spans="1:25" ht="25.5" x14ac:dyDescent="0.2">
      <c r="A100" s="5" t="s">
        <v>86</v>
      </c>
      <c r="B100" t="str">
        <f>HYPERLINK("https://www.onsemi.com/PowerSolutions/product.do?id=LV8862JA","LV8862JA")</f>
        <v>LV8862JA</v>
      </c>
      <c r="C100" t="str">
        <f>HYPERLINK("https://www.onsemi.com/pub/Collateral/LV8862JA-D.PDF","LV8862JA/D (413kB)")</f>
        <v>LV8862JA/D (413kB)</v>
      </c>
      <c r="D100" t="s">
        <v>198</v>
      </c>
      <c r="E100" s="2" t="s">
        <v>27</v>
      </c>
      <c r="F100" t="s">
        <v>28</v>
      </c>
      <c r="G100" s="2" t="s">
        <v>33</v>
      </c>
      <c r="H100" s="2"/>
      <c r="I100" t="s">
        <v>32</v>
      </c>
      <c r="J100" t="s">
        <v>32</v>
      </c>
      <c r="K100" s="2" t="s">
        <v>199</v>
      </c>
      <c r="L100" s="2" t="s">
        <v>99</v>
      </c>
      <c r="M100" s="2"/>
      <c r="N100" s="2" t="s">
        <v>125</v>
      </c>
      <c r="O100" t="s">
        <v>32</v>
      </c>
      <c r="Q100" s="2" t="s">
        <v>77</v>
      </c>
      <c r="R100" s="2"/>
      <c r="S100" s="2"/>
      <c r="T100" s="2"/>
      <c r="U100" s="2"/>
      <c r="V100" s="2"/>
      <c r="W100" s="2"/>
      <c r="X100" s="2"/>
      <c r="Y100" s="2" t="s">
        <v>126</v>
      </c>
    </row>
    <row r="101" spans="1:25" ht="51" x14ac:dyDescent="0.2">
      <c r="A101" s="5" t="s">
        <v>86</v>
      </c>
      <c r="B101" t="str">
        <f>HYPERLINK("https://www.onsemi.com/PowerSolutions/product.do?id=LV8907UW","LV8907UW")</f>
        <v>LV8907UW</v>
      </c>
      <c r="C101" t="str">
        <f>HYPERLINK("https://www.onsemi.com/pub/Collateral/LV8907UW-D.PDF","LV8907UW/D (826kB)")</f>
        <v>LV8907UW/D (826kB)</v>
      </c>
      <c r="D101" t="s">
        <v>227</v>
      </c>
      <c r="E101" s="2" t="s">
        <v>15</v>
      </c>
      <c r="F101" t="s">
        <v>28</v>
      </c>
      <c r="G101" s="2" t="s">
        <v>37</v>
      </c>
      <c r="H101" s="2"/>
      <c r="I101" s="2" t="s">
        <v>17</v>
      </c>
      <c r="J101" s="2" t="s">
        <v>95</v>
      </c>
      <c r="K101" t="s">
        <v>32</v>
      </c>
      <c r="L101" t="s">
        <v>32</v>
      </c>
      <c r="N101" s="2" t="s">
        <v>96</v>
      </c>
      <c r="O101" s="2" t="s">
        <v>228</v>
      </c>
      <c r="P101" s="2"/>
      <c r="Q101" s="2" t="s">
        <v>77</v>
      </c>
      <c r="R101" s="2"/>
      <c r="S101" s="2"/>
      <c r="T101" s="2"/>
      <c r="U101" s="2"/>
      <c r="V101" s="2"/>
      <c r="W101" s="2"/>
      <c r="X101" s="2"/>
      <c r="Y101" s="2" t="s">
        <v>229</v>
      </c>
    </row>
    <row r="102" spans="1:25" ht="51" x14ac:dyDescent="0.2">
      <c r="A102" s="5" t="s">
        <v>86</v>
      </c>
      <c r="B102" t="str">
        <f>HYPERLINK("https://www.onsemi.com/PowerSolutions/product.do?id=LV8968BBUWR2G","LV8968BBUWR2G")</f>
        <v>LV8968BBUWR2G</v>
      </c>
      <c r="C102" t="str">
        <f>HYPERLINK("https://www.onsemi.com/pub/Collateral/LV8968BBUW-D.PDF","LV8968BBUW/D (327kB)")</f>
        <v>LV8968BBUW/D (327kB)</v>
      </c>
      <c r="D102" t="s">
        <v>230</v>
      </c>
      <c r="E102" s="2" t="s">
        <v>15</v>
      </c>
      <c r="F102" t="s">
        <v>28</v>
      </c>
      <c r="G102" s="2" t="s">
        <v>37</v>
      </c>
      <c r="H102" s="2"/>
      <c r="I102" s="2" t="s">
        <v>57</v>
      </c>
      <c r="J102" s="2" t="s">
        <v>219</v>
      </c>
      <c r="K102" t="s">
        <v>32</v>
      </c>
      <c r="L102" t="s">
        <v>32</v>
      </c>
      <c r="N102" t="s">
        <v>32</v>
      </c>
      <c r="O102" t="s">
        <v>32</v>
      </c>
      <c r="Q102" s="2" t="s">
        <v>34</v>
      </c>
      <c r="R102" s="2"/>
      <c r="S102" s="2"/>
      <c r="T102" s="2"/>
      <c r="U102" s="2"/>
      <c r="V102" s="2"/>
      <c r="W102" s="2"/>
      <c r="X102" s="2"/>
      <c r="Y102" s="2" t="s">
        <v>229</v>
      </c>
    </row>
    <row r="103" spans="1:25" ht="25.5" x14ac:dyDescent="0.2">
      <c r="A103" s="5" t="s">
        <v>86</v>
      </c>
      <c r="B103" t="str">
        <f>HYPERLINK("https://www.onsemi.com/PowerSolutions/product.do?id=MC33033","MC33033")</f>
        <v>MC33033</v>
      </c>
      <c r="C103" t="str">
        <f>HYPERLINK("https://www.onsemi.com/pub/Collateral/MC33033-D.PDF","MC33033/D (381.0kB)")</f>
        <v>MC33033/D (381.0kB)</v>
      </c>
      <c r="D103" t="s">
        <v>231</v>
      </c>
      <c r="E103" s="2" t="s">
        <v>27</v>
      </c>
      <c r="F103" t="s">
        <v>28</v>
      </c>
      <c r="G103" s="2" t="s">
        <v>37</v>
      </c>
      <c r="H103" s="2"/>
      <c r="I103" s="2" t="s">
        <v>46</v>
      </c>
      <c r="J103" s="2" t="s">
        <v>18</v>
      </c>
      <c r="K103" s="2" t="s">
        <v>46</v>
      </c>
      <c r="L103" s="2" t="s">
        <v>232</v>
      </c>
      <c r="M103" s="2"/>
      <c r="N103" s="2" t="s">
        <v>233</v>
      </c>
      <c r="O103" s="2" t="s">
        <v>233</v>
      </c>
      <c r="P103" s="2"/>
      <c r="Q103" s="2" t="s">
        <v>101</v>
      </c>
      <c r="R103" s="2"/>
      <c r="S103" s="2"/>
      <c r="T103" s="2"/>
      <c r="U103" s="2"/>
      <c r="V103" s="2"/>
      <c r="W103" s="2"/>
      <c r="X103" s="2"/>
      <c r="Y103" s="2" t="s">
        <v>234</v>
      </c>
    </row>
    <row r="104" spans="1:25" ht="25.5" x14ac:dyDescent="0.2">
      <c r="A104" s="5" t="s">
        <v>86</v>
      </c>
      <c r="B104" t="str">
        <f>HYPERLINK("https://www.onsemi.com/PowerSolutions/product.do?id=MC33035","MC33035")</f>
        <v>MC33035</v>
      </c>
      <c r="C104" t="str">
        <f>HYPERLINK("https://www.onsemi.com/pub/Collateral/MC33035-D.PDF","MC33035/D (405kB)")</f>
        <v>MC33035/D (405kB)</v>
      </c>
      <c r="D104" t="s">
        <v>235</v>
      </c>
      <c r="E104" s="2" t="s">
        <v>27</v>
      </c>
      <c r="F104" t="s">
        <v>28</v>
      </c>
      <c r="G104" s="2" t="s">
        <v>37</v>
      </c>
      <c r="H104" s="2"/>
      <c r="I104" s="2" t="s">
        <v>46</v>
      </c>
      <c r="J104" s="2" t="s">
        <v>18</v>
      </c>
      <c r="K104" s="2" t="s">
        <v>46</v>
      </c>
      <c r="L104" s="2" t="s">
        <v>232</v>
      </c>
      <c r="M104" s="2"/>
      <c r="N104" s="2" t="s">
        <v>233</v>
      </c>
      <c r="O104" s="2" t="s">
        <v>233</v>
      </c>
      <c r="P104" s="2"/>
      <c r="Q104" s="2" t="s">
        <v>101</v>
      </c>
      <c r="R104" s="2"/>
      <c r="S104" s="2"/>
      <c r="T104" s="2"/>
      <c r="U104" s="2"/>
      <c r="V104" s="2"/>
      <c r="W104" s="2"/>
      <c r="X104" s="2"/>
      <c r="Y104" t="s">
        <v>32</v>
      </c>
    </row>
    <row r="105" spans="1:25" ht="25.5" x14ac:dyDescent="0.2">
      <c r="A105" s="5" t="s">
        <v>86</v>
      </c>
      <c r="B105" t="str">
        <f>HYPERLINK("https://www.onsemi.com/PowerSolutions/product.do?id=MC33039","MC33039")</f>
        <v>MC33039</v>
      </c>
      <c r="C105" t="str">
        <f>HYPERLINK("https://www.onsemi.com/pub/Collateral/MC33039-D.PDF","MC33039/D (140.0kB)")</f>
        <v>MC33039/D (140.0kB)</v>
      </c>
      <c r="D105" t="s">
        <v>236</v>
      </c>
      <c r="E105" s="2" t="s">
        <v>27</v>
      </c>
      <c r="F105" t="s">
        <v>28</v>
      </c>
      <c r="G105" s="2" t="s">
        <v>37</v>
      </c>
      <c r="H105" s="2"/>
      <c r="I105" s="2" t="s">
        <v>17</v>
      </c>
      <c r="J105" s="2" t="s">
        <v>172</v>
      </c>
      <c r="K105" s="2" t="s">
        <v>17</v>
      </c>
      <c r="L105" s="2" t="s">
        <v>30</v>
      </c>
      <c r="M105" s="2"/>
      <c r="N105" s="2" t="s">
        <v>135</v>
      </c>
      <c r="O105" s="2" t="s">
        <v>135</v>
      </c>
      <c r="P105" s="2"/>
      <c r="Q105" s="2" t="s">
        <v>101</v>
      </c>
      <c r="R105" s="2"/>
      <c r="S105" s="2"/>
      <c r="T105" s="2"/>
      <c r="U105" s="2"/>
      <c r="V105" s="2"/>
      <c r="W105" s="2"/>
      <c r="X105" s="2"/>
      <c r="Y105" s="2" t="s">
        <v>237</v>
      </c>
    </row>
    <row r="106" spans="1:25" ht="51" x14ac:dyDescent="0.2">
      <c r="A106" s="5" t="s">
        <v>86</v>
      </c>
      <c r="B106" t="str">
        <f>HYPERLINK("https://www.onsemi.com/PowerSolutions/product.do?id=NCV33035","NCV33035")</f>
        <v>NCV33035</v>
      </c>
      <c r="C106" t="str">
        <f>HYPERLINK("https://www.onsemi.com/pub/Collateral/MC33035-D.PDF","MC33035/D (405kB)")</f>
        <v>MC33035/D (405kB)</v>
      </c>
      <c r="D106" t="s">
        <v>235</v>
      </c>
      <c r="E106" s="2" t="s">
        <v>15</v>
      </c>
      <c r="F106" t="s">
        <v>28</v>
      </c>
      <c r="G106" s="2" t="s">
        <v>37</v>
      </c>
      <c r="H106" s="2"/>
      <c r="I106" s="2" t="s">
        <v>46</v>
      </c>
      <c r="J106" s="2" t="s">
        <v>18</v>
      </c>
      <c r="K106" s="2" t="s">
        <v>46</v>
      </c>
      <c r="L106" s="2" t="s">
        <v>232</v>
      </c>
      <c r="M106" s="2"/>
      <c r="N106" s="2" t="s">
        <v>233</v>
      </c>
      <c r="O106" s="2" t="s">
        <v>233</v>
      </c>
      <c r="P106" s="2"/>
      <c r="Q106" s="2" t="s">
        <v>101</v>
      </c>
      <c r="R106" s="2"/>
      <c r="S106" s="2"/>
      <c r="T106" s="2"/>
      <c r="U106" s="2"/>
      <c r="V106" s="2"/>
      <c r="W106" s="2"/>
      <c r="X106" s="2"/>
      <c r="Y106" s="2" t="s">
        <v>238</v>
      </c>
    </row>
    <row r="107" spans="1:25" ht="25.5" x14ac:dyDescent="0.2">
      <c r="A107" s="5" t="s">
        <v>241</v>
      </c>
      <c r="B107" t="str">
        <f>HYPERLINK("https://www.onsemi.com/PowerSolutions/product.do?id=AMIS-30422","AMIS-30422")</f>
        <v>AMIS-30422</v>
      </c>
      <c r="C107" t="str">
        <f>HYPERLINK("https://www.onsemi.com/pub/Collateral/AMIS-30422-D.PDF","AMIS-30422/D (480.0kB)")</f>
        <v>AMIS-30422/D (480.0kB)</v>
      </c>
      <c r="D107" t="s">
        <v>242</v>
      </c>
      <c r="E107" s="2" t="s">
        <v>27</v>
      </c>
      <c r="F107" t="s">
        <v>28</v>
      </c>
      <c r="I107" s="2" t="s">
        <v>57</v>
      </c>
      <c r="J107" s="2" t="s">
        <v>18</v>
      </c>
      <c r="K107" s="2" t="s">
        <v>37</v>
      </c>
      <c r="L107" s="2" t="s">
        <v>199</v>
      </c>
      <c r="M107" s="2"/>
      <c r="N107" s="2" t="s">
        <v>124</v>
      </c>
      <c r="O107" s="2" t="s">
        <v>95</v>
      </c>
      <c r="P107" s="2" t="s">
        <v>243</v>
      </c>
      <c r="Q107" s="2" t="s">
        <v>22</v>
      </c>
      <c r="R107" s="2" t="s">
        <v>41</v>
      </c>
      <c r="S107" s="2" t="s">
        <v>244</v>
      </c>
      <c r="T107" s="2"/>
      <c r="U107" s="2"/>
      <c r="V107" s="2"/>
      <c r="W107" s="2"/>
      <c r="X107" s="2"/>
      <c r="Y107" s="2" t="s">
        <v>245</v>
      </c>
    </row>
    <row r="108" spans="1:25" ht="25.5" x14ac:dyDescent="0.2">
      <c r="A108" s="5" t="s">
        <v>241</v>
      </c>
      <c r="B108" t="str">
        <f>HYPERLINK("https://www.onsemi.com/PowerSolutions/product.do?id=AMIS-30512","AMIS-30512")</f>
        <v>AMIS-30512</v>
      </c>
      <c r="C108" t="str">
        <f>HYPERLINK("https://www.onsemi.com/pub/Collateral/AMIS30512-D.PDF","AMIS30512/D (414.0kB)")</f>
        <v>AMIS30512/D (414.0kB)</v>
      </c>
      <c r="D108" t="s">
        <v>246</v>
      </c>
      <c r="E108" s="2" t="s">
        <v>27</v>
      </c>
      <c r="F108" t="s">
        <v>28</v>
      </c>
      <c r="I108" s="2" t="s">
        <v>57</v>
      </c>
      <c r="J108" s="2" t="s">
        <v>18</v>
      </c>
      <c r="K108" s="2" t="s">
        <v>74</v>
      </c>
      <c r="L108" s="2" t="s">
        <v>63</v>
      </c>
      <c r="M108" s="2"/>
      <c r="N108" s="2" t="s">
        <v>26</v>
      </c>
      <c r="O108" s="2" t="s">
        <v>26</v>
      </c>
      <c r="P108" s="2" t="s">
        <v>247</v>
      </c>
      <c r="Q108" s="2" t="s">
        <v>22</v>
      </c>
      <c r="R108" s="2" t="s">
        <v>71</v>
      </c>
      <c r="S108" s="2" t="s">
        <v>248</v>
      </c>
      <c r="T108" s="2"/>
      <c r="U108" s="2"/>
      <c r="V108" s="2"/>
      <c r="W108" s="2"/>
      <c r="X108" s="2"/>
      <c r="Y108" s="2" t="s">
        <v>249</v>
      </c>
    </row>
    <row r="109" spans="1:25" ht="25.5" x14ac:dyDescent="0.2">
      <c r="A109" s="5" t="s">
        <v>241</v>
      </c>
      <c r="B109" t="str">
        <f>HYPERLINK("https://www.onsemi.com/PowerSolutions/product.do?id=AMIS-30521","AMIS-30521")</f>
        <v>AMIS-30521</v>
      </c>
      <c r="C109" t="str">
        <f>HYPERLINK("https://www.onsemi.com/pub/Collateral/AMIS-30521-D.PDF","AMIS-30521/D (314kB)")</f>
        <v>AMIS-30521/D (314kB)</v>
      </c>
      <c r="D109" t="s">
        <v>250</v>
      </c>
      <c r="E109" s="2" t="s">
        <v>27</v>
      </c>
      <c r="F109" t="s">
        <v>28</v>
      </c>
      <c r="I109" s="2" t="s">
        <v>57</v>
      </c>
      <c r="J109" s="2" t="s">
        <v>18</v>
      </c>
      <c r="K109" s="2" t="s">
        <v>74</v>
      </c>
      <c r="L109" s="2" t="s">
        <v>63</v>
      </c>
      <c r="M109" s="2"/>
      <c r="N109" s="2" t="s">
        <v>107</v>
      </c>
      <c r="O109" s="2" t="s">
        <v>107</v>
      </c>
      <c r="P109" s="2" t="s">
        <v>247</v>
      </c>
      <c r="Q109" s="2" t="s">
        <v>22</v>
      </c>
      <c r="R109" s="2" t="s">
        <v>71</v>
      </c>
      <c r="S109" s="2" t="s">
        <v>244</v>
      </c>
      <c r="T109" s="2"/>
      <c r="U109" s="2"/>
      <c r="V109" s="2"/>
      <c r="W109" s="2"/>
      <c r="X109" s="2"/>
      <c r="Y109" s="2" t="s">
        <v>251</v>
      </c>
    </row>
    <row r="110" spans="1:25" ht="25.5" x14ac:dyDescent="0.2">
      <c r="A110" s="5" t="s">
        <v>241</v>
      </c>
      <c r="B110" t="str">
        <f>HYPERLINK("https://www.onsemi.com/PowerSolutions/product.do?id=AMIS-30522","AMIS-30522")</f>
        <v>AMIS-30522</v>
      </c>
      <c r="C110" t="str">
        <f>HYPERLINK("https://www.onsemi.com/pub/Collateral/AMIS-30522-D.PDF","AMIS30522/D (336.0kB)")</f>
        <v>AMIS30522/D (336.0kB)</v>
      </c>
      <c r="D110" t="s">
        <v>250</v>
      </c>
      <c r="E110" s="2" t="s">
        <v>27</v>
      </c>
      <c r="F110" t="s">
        <v>28</v>
      </c>
      <c r="I110" s="2" t="s">
        <v>57</v>
      </c>
      <c r="J110" s="2" t="s">
        <v>18</v>
      </c>
      <c r="K110" s="2" t="s">
        <v>74</v>
      </c>
      <c r="L110" s="2" t="s">
        <v>63</v>
      </c>
      <c r="M110" s="2"/>
      <c r="N110" s="2" t="s">
        <v>107</v>
      </c>
      <c r="O110" s="2" t="s">
        <v>107</v>
      </c>
      <c r="P110" s="2" t="s">
        <v>247</v>
      </c>
      <c r="Q110" s="2" t="s">
        <v>22</v>
      </c>
      <c r="R110" s="2" t="s">
        <v>71</v>
      </c>
      <c r="S110" s="2" t="s">
        <v>244</v>
      </c>
      <c r="T110" s="2"/>
      <c r="U110" s="2"/>
      <c r="V110" s="2"/>
      <c r="W110" s="2"/>
      <c r="X110" s="2"/>
      <c r="Y110" s="2" t="s">
        <v>251</v>
      </c>
    </row>
    <row r="111" spans="1:25" ht="25.5" x14ac:dyDescent="0.2">
      <c r="A111" s="5" t="s">
        <v>241</v>
      </c>
      <c r="B111" t="str">
        <f>HYPERLINK("https://www.onsemi.com/PowerSolutions/product.do?id=AMIS-30532","AMIS-30532")</f>
        <v>AMIS-30532</v>
      </c>
      <c r="C111" t="str">
        <f>HYPERLINK("https://www.onsemi.com/pub/Collateral/AMIS-30532-D.PDF","AMIS-30532/D (442kB)")</f>
        <v>AMIS-30532/D (442kB)</v>
      </c>
      <c r="D111" t="s">
        <v>246</v>
      </c>
      <c r="E111" s="2" t="s">
        <v>27</v>
      </c>
      <c r="F111" t="s">
        <v>28</v>
      </c>
      <c r="I111" s="2" t="s">
        <v>57</v>
      </c>
      <c r="J111" s="2" t="s">
        <v>18</v>
      </c>
      <c r="K111" s="2" t="s">
        <v>129</v>
      </c>
      <c r="L111" s="2" t="s">
        <v>17</v>
      </c>
      <c r="M111" s="2"/>
      <c r="N111" s="2" t="s">
        <v>252</v>
      </c>
      <c r="O111" s="2" t="s">
        <v>252</v>
      </c>
      <c r="P111" s="2" t="s">
        <v>247</v>
      </c>
      <c r="Q111" s="2" t="s">
        <v>22</v>
      </c>
      <c r="R111" s="2" t="s">
        <v>71</v>
      </c>
      <c r="S111" s="2" t="s">
        <v>248</v>
      </c>
      <c r="T111" s="2"/>
      <c r="U111" s="2"/>
      <c r="V111" s="2"/>
      <c r="W111" s="2"/>
      <c r="X111" s="2"/>
      <c r="Y111" s="2" t="s">
        <v>251</v>
      </c>
    </row>
    <row r="112" spans="1:25" ht="25.5" x14ac:dyDescent="0.2">
      <c r="A112" s="5" t="s">
        <v>241</v>
      </c>
      <c r="B112" t="str">
        <f>HYPERLINK("https://www.onsemi.com/PowerSolutions/product.do?id=AMIS-30543","AMIS-30543")</f>
        <v>AMIS-30543</v>
      </c>
      <c r="C112" t="str">
        <f>HYPERLINK("https://www.onsemi.com/pub/Collateral/AMIS-30543-D.PDF","AMIS-30543/D (521kB)")</f>
        <v>AMIS-30543/D (521kB)</v>
      </c>
      <c r="D112" t="s">
        <v>246</v>
      </c>
      <c r="E112" s="2" t="s">
        <v>27</v>
      </c>
      <c r="F112" t="s">
        <v>28</v>
      </c>
      <c r="I112" s="2" t="s">
        <v>57</v>
      </c>
      <c r="J112" s="2" t="s">
        <v>18</v>
      </c>
      <c r="K112" s="2" t="s">
        <v>129</v>
      </c>
      <c r="L112" s="2" t="s">
        <v>17</v>
      </c>
      <c r="M112" s="2"/>
      <c r="N112" s="2" t="s">
        <v>37</v>
      </c>
      <c r="O112" s="2" t="s">
        <v>37</v>
      </c>
      <c r="P112" s="2" t="s">
        <v>243</v>
      </c>
      <c r="Q112" s="2" t="s">
        <v>22</v>
      </c>
      <c r="R112" s="2" t="s">
        <v>71</v>
      </c>
      <c r="S112" s="2" t="s">
        <v>244</v>
      </c>
      <c r="T112" s="2"/>
      <c r="U112" s="2"/>
      <c r="V112" s="2"/>
      <c r="W112" s="2"/>
      <c r="X112" s="2"/>
      <c r="Y112" s="2" t="s">
        <v>253</v>
      </c>
    </row>
    <row r="113" spans="1:25" ht="51" x14ac:dyDescent="0.2">
      <c r="A113" s="5" t="s">
        <v>241</v>
      </c>
      <c r="B113" t="str">
        <f>HYPERLINK("https://www.onsemi.com/PowerSolutions/product.do?id=AMIS-30621","AMIS-30621")</f>
        <v>AMIS-30621</v>
      </c>
      <c r="C113" t="str">
        <f>HYPERLINK("https://www.onsemi.com/pub/Collateral/AMIS-30621-D.PDF","AMIS-30621/D (634.0kB)")</f>
        <v>AMIS-30621/D (634.0kB)</v>
      </c>
      <c r="D113" t="s">
        <v>254</v>
      </c>
      <c r="E113" s="2" t="s">
        <v>15</v>
      </c>
      <c r="F113" t="s">
        <v>28</v>
      </c>
      <c r="I113" s="2" t="s">
        <v>57</v>
      </c>
      <c r="J113" s="2" t="s">
        <v>18</v>
      </c>
      <c r="K113" s="2" t="s">
        <v>74</v>
      </c>
      <c r="L113" s="2" t="s">
        <v>63</v>
      </c>
      <c r="M113" s="2"/>
      <c r="N113" s="2" t="s">
        <v>26</v>
      </c>
      <c r="O113" s="2" t="s">
        <v>26</v>
      </c>
      <c r="P113" s="2" t="s">
        <v>255</v>
      </c>
      <c r="Q113" s="2" t="s">
        <v>256</v>
      </c>
      <c r="R113" s="2" t="s">
        <v>71</v>
      </c>
      <c r="S113" s="2" t="s">
        <v>257</v>
      </c>
      <c r="T113" s="2"/>
      <c r="U113" s="2"/>
      <c r="V113" s="2"/>
      <c r="W113" s="2"/>
      <c r="X113" s="2"/>
      <c r="Y113" s="2" t="s">
        <v>258</v>
      </c>
    </row>
    <row r="114" spans="1:25" ht="25.5" x14ac:dyDescent="0.2">
      <c r="A114" s="5" t="s">
        <v>241</v>
      </c>
      <c r="B114" t="str">
        <f>HYPERLINK("https://www.onsemi.com/PowerSolutions/product.do?id=AMIS-30622","AMIS-30622")</f>
        <v>AMIS-30622</v>
      </c>
      <c r="C114" t="str">
        <f>HYPERLINK("https://www.onsemi.com/pub/Collateral/AMIS-30622-D.PDF","AMIS-30622/D (519.0kB)")</f>
        <v>AMIS-30622/D (519.0kB)</v>
      </c>
      <c r="D114" t="s">
        <v>259</v>
      </c>
      <c r="E114" s="2" t="s">
        <v>27</v>
      </c>
      <c r="F114" t="s">
        <v>28</v>
      </c>
      <c r="I114" s="2" t="s">
        <v>57</v>
      </c>
      <c r="J114" s="2" t="s">
        <v>18</v>
      </c>
      <c r="K114" s="2" t="s">
        <v>74</v>
      </c>
      <c r="L114" s="2" t="s">
        <v>17</v>
      </c>
      <c r="M114" s="2"/>
      <c r="N114" s="2" t="s">
        <v>26</v>
      </c>
      <c r="O114" s="2" t="s">
        <v>26</v>
      </c>
      <c r="P114" s="2" t="s">
        <v>255</v>
      </c>
      <c r="Q114" s="2" t="s">
        <v>195</v>
      </c>
      <c r="R114" s="2" t="s">
        <v>71</v>
      </c>
      <c r="S114" s="2" t="s">
        <v>260</v>
      </c>
      <c r="T114" s="2"/>
      <c r="U114" s="2"/>
      <c r="V114" s="2"/>
      <c r="W114" s="2"/>
      <c r="X114" s="2"/>
      <c r="Y114" s="2" t="s">
        <v>234</v>
      </c>
    </row>
    <row r="115" spans="1:25" ht="38.25" x14ac:dyDescent="0.2">
      <c r="A115" s="5" t="s">
        <v>241</v>
      </c>
      <c r="B115" t="str">
        <f>HYPERLINK("https://www.onsemi.com/PowerSolutions/product.do?id=AMIS-30624","AMIS-30624")</f>
        <v>AMIS-30624</v>
      </c>
      <c r="C115" t="str">
        <f>HYPERLINK("https://www.onsemi.com/pub/Collateral/AMIS-30624-D.PDF","AMIS-30624/D (590.0kB)")</f>
        <v>AMIS-30624/D (590.0kB)</v>
      </c>
      <c r="D115" t="s">
        <v>261</v>
      </c>
      <c r="E115" s="2" t="s">
        <v>27</v>
      </c>
      <c r="F115" t="s">
        <v>28</v>
      </c>
      <c r="I115" s="2" t="s">
        <v>57</v>
      </c>
      <c r="J115" s="2" t="s">
        <v>18</v>
      </c>
      <c r="K115" s="2" t="s">
        <v>74</v>
      </c>
      <c r="L115" s="2" t="s">
        <v>17</v>
      </c>
      <c r="M115" s="2"/>
      <c r="N115" s="2" t="s">
        <v>26</v>
      </c>
      <c r="O115" s="2" t="s">
        <v>26</v>
      </c>
      <c r="P115" s="2" t="s">
        <v>255</v>
      </c>
      <c r="Q115" s="2" t="s">
        <v>195</v>
      </c>
      <c r="R115" s="2" t="s">
        <v>71</v>
      </c>
      <c r="S115" s="2" t="s">
        <v>262</v>
      </c>
      <c r="T115" s="2"/>
      <c r="U115" s="2"/>
      <c r="V115" s="2"/>
      <c r="W115" s="2"/>
      <c r="X115" s="2"/>
      <c r="Y115" s="2" t="s">
        <v>263</v>
      </c>
    </row>
    <row r="116" spans="1:25" ht="25.5" x14ac:dyDescent="0.2">
      <c r="A116" s="5" t="s">
        <v>241</v>
      </c>
      <c r="B116" t="str">
        <f>HYPERLINK("https://www.onsemi.com/PowerSolutions/product.do?id=LB1836M","LB1836M")</f>
        <v>LB1836M</v>
      </c>
      <c r="C116" t="str">
        <f>HYPERLINK("https://www.onsemi.com/pub/Collateral/LB1836M-D.PDF","LB1836M/D (71.0kB)")</f>
        <v>LB1836M/D (71.0kB)</v>
      </c>
      <c r="D116" t="s">
        <v>264</v>
      </c>
      <c r="E116" s="2" t="s">
        <v>40</v>
      </c>
      <c r="F116" t="s">
        <v>28</v>
      </c>
      <c r="I116" s="2" t="s">
        <v>184</v>
      </c>
      <c r="J116" s="2" t="s">
        <v>30</v>
      </c>
      <c r="K116" s="2" t="s">
        <v>31</v>
      </c>
      <c r="L116" s="2" t="s">
        <v>30</v>
      </c>
      <c r="M116" s="2"/>
      <c r="N116" s="2" t="s">
        <v>33</v>
      </c>
      <c r="O116" t="s">
        <v>32</v>
      </c>
      <c r="P116" s="2" t="s">
        <v>265</v>
      </c>
      <c r="Q116" s="2" t="s">
        <v>34</v>
      </c>
      <c r="R116" s="2" t="s">
        <v>23</v>
      </c>
      <c r="S116" s="2" t="s">
        <v>244</v>
      </c>
      <c r="T116" s="2"/>
      <c r="U116" s="2"/>
      <c r="V116" s="2"/>
      <c r="W116" s="2"/>
      <c r="X116" s="2"/>
      <c r="Y116" s="2" t="s">
        <v>164</v>
      </c>
    </row>
    <row r="117" spans="1:25" ht="25.5" x14ac:dyDescent="0.2">
      <c r="A117" s="5" t="s">
        <v>241</v>
      </c>
      <c r="B117" t="str">
        <f>HYPERLINK("https://www.onsemi.com/PowerSolutions/product.do?id=LB1838M","LB1838M")</f>
        <v>LB1838M</v>
      </c>
      <c r="C117" t="str">
        <f>HYPERLINK("https://www.onsemi.com/pub/Collateral/LB1838M-D.PDF","LB1838M/D (76.0kB)")</f>
        <v>LB1838M/D (76.0kB)</v>
      </c>
      <c r="D117" t="s">
        <v>264</v>
      </c>
      <c r="E117" s="2" t="s">
        <v>40</v>
      </c>
      <c r="F117" t="s">
        <v>28</v>
      </c>
      <c r="I117" s="2" t="s">
        <v>184</v>
      </c>
      <c r="J117" s="2" t="s">
        <v>30</v>
      </c>
      <c r="K117" s="2" t="s">
        <v>31</v>
      </c>
      <c r="L117" s="2" t="s">
        <v>30</v>
      </c>
      <c r="M117" s="2"/>
      <c r="N117" s="2" t="s">
        <v>33</v>
      </c>
      <c r="O117" t="s">
        <v>32</v>
      </c>
      <c r="P117" s="2" t="s">
        <v>266</v>
      </c>
      <c r="Q117" s="2" t="s">
        <v>34</v>
      </c>
      <c r="R117" s="2" t="s">
        <v>23</v>
      </c>
      <c r="S117" s="2" t="s">
        <v>244</v>
      </c>
      <c r="T117" s="2"/>
      <c r="U117" s="2"/>
      <c r="V117" s="2"/>
      <c r="W117" s="2"/>
      <c r="X117" s="2"/>
      <c r="Y117" s="2" t="s">
        <v>164</v>
      </c>
    </row>
    <row r="118" spans="1:25" ht="25.5" x14ac:dyDescent="0.2">
      <c r="A118" s="5" t="s">
        <v>241</v>
      </c>
      <c r="B118" t="str">
        <f>HYPERLINK("https://www.onsemi.com/PowerSolutions/product.do?id=LB1848MC","LB1848MC")</f>
        <v>LB1848MC</v>
      </c>
      <c r="C118" t="str">
        <f>HYPERLINK("https://www.onsemi.com/pub/Collateral/ENA2036-D.PDF","ENA2036/D (132.0kB)")</f>
        <v>ENA2036/D (132.0kB)</v>
      </c>
      <c r="D118" t="s">
        <v>267</v>
      </c>
      <c r="E118" s="2" t="s">
        <v>27</v>
      </c>
      <c r="F118" t="s">
        <v>28</v>
      </c>
      <c r="I118" s="2" t="s">
        <v>31</v>
      </c>
      <c r="J118" s="2" t="s">
        <v>172</v>
      </c>
      <c r="K118" s="2" t="s">
        <v>31</v>
      </c>
      <c r="L118" s="2" t="s">
        <v>172</v>
      </c>
      <c r="M118" s="2"/>
      <c r="N118" t="s">
        <v>32</v>
      </c>
      <c r="O118" s="2" t="s">
        <v>26</v>
      </c>
      <c r="P118" s="2" t="s">
        <v>33</v>
      </c>
      <c r="Q118" s="2" t="s">
        <v>34</v>
      </c>
      <c r="R118" s="2" t="s">
        <v>23</v>
      </c>
      <c r="S118" s="2" t="s">
        <v>244</v>
      </c>
      <c r="T118" s="2"/>
      <c r="U118" s="2"/>
      <c r="V118" s="2"/>
      <c r="W118" s="2"/>
      <c r="X118" s="2"/>
      <c r="Y118" s="2" t="s">
        <v>35</v>
      </c>
    </row>
    <row r="119" spans="1:25" ht="25.5" x14ac:dyDescent="0.2">
      <c r="A119" s="5" t="s">
        <v>241</v>
      </c>
      <c r="B119" t="str">
        <f>HYPERLINK("https://www.onsemi.com/PowerSolutions/product.do?id=LB1909MC","LB1909MC")</f>
        <v>LB1909MC</v>
      </c>
      <c r="C119" t="str">
        <f>HYPERLINK("https://www.onsemi.com/pub/Collateral/ENA2037-D.PDF","ENA2037/D (57.0kB)")</f>
        <v>ENA2037/D (57.0kB)</v>
      </c>
      <c r="D119" t="s">
        <v>268</v>
      </c>
      <c r="E119" s="2" t="s">
        <v>27</v>
      </c>
      <c r="F119" t="s">
        <v>28</v>
      </c>
      <c r="I119" s="2" t="s">
        <v>31</v>
      </c>
      <c r="J119" s="2" t="s">
        <v>99</v>
      </c>
      <c r="K119" s="2" t="s">
        <v>31</v>
      </c>
      <c r="L119" s="2" t="s">
        <v>99</v>
      </c>
      <c r="M119" s="2"/>
      <c r="N119" s="2" t="s">
        <v>26</v>
      </c>
      <c r="O119" t="s">
        <v>32</v>
      </c>
      <c r="P119" s="2" t="s">
        <v>33</v>
      </c>
      <c r="Q119" s="2" t="s">
        <v>34</v>
      </c>
      <c r="R119" s="2" t="s">
        <v>23</v>
      </c>
      <c r="S119" s="2" t="s">
        <v>244</v>
      </c>
      <c r="T119" s="2"/>
      <c r="U119" s="2"/>
      <c r="V119" s="2"/>
      <c r="W119" s="2"/>
      <c r="X119" s="2"/>
      <c r="Y119" s="2" t="s">
        <v>35</v>
      </c>
    </row>
    <row r="120" spans="1:25" ht="25.5" x14ac:dyDescent="0.2">
      <c r="A120" s="5" t="s">
        <v>241</v>
      </c>
      <c r="B120" t="str">
        <f>HYPERLINK("https://www.onsemi.com/PowerSolutions/product.do?id=LB1935FA","LB1935FA")</f>
        <v>LB1935FA</v>
      </c>
      <c r="C120" t="str">
        <f>HYPERLINK("https://www.onsemi.com/pub/Collateral/ENA2060-D.PDF","ENA2060/D (166.0kB)")</f>
        <v>ENA2060/D (166.0kB)</v>
      </c>
      <c r="D120" t="s">
        <v>269</v>
      </c>
      <c r="E120" s="2" t="s">
        <v>27</v>
      </c>
      <c r="F120" t="s">
        <v>28</v>
      </c>
      <c r="I120" s="2" t="s">
        <v>29</v>
      </c>
      <c r="J120" s="2" t="s">
        <v>172</v>
      </c>
      <c r="K120" s="2" t="s">
        <v>29</v>
      </c>
      <c r="L120" s="2" t="s">
        <v>172</v>
      </c>
      <c r="M120" s="2"/>
      <c r="N120" t="s">
        <v>32</v>
      </c>
      <c r="O120" s="2" t="s">
        <v>228</v>
      </c>
      <c r="P120" s="2" t="s">
        <v>33</v>
      </c>
      <c r="Q120" s="2" t="s">
        <v>34</v>
      </c>
      <c r="R120" s="2" t="s">
        <v>23</v>
      </c>
      <c r="S120" s="2" t="s">
        <v>244</v>
      </c>
      <c r="T120" s="2"/>
      <c r="U120" s="2"/>
      <c r="V120" s="2"/>
      <c r="W120" s="2"/>
      <c r="X120" s="2"/>
      <c r="Y120" s="2" t="s">
        <v>112</v>
      </c>
    </row>
    <row r="121" spans="1:25" ht="25.5" x14ac:dyDescent="0.2">
      <c r="A121" s="5" t="s">
        <v>241</v>
      </c>
      <c r="B121" t="str">
        <f>HYPERLINK("https://www.onsemi.com/PowerSolutions/product.do?id=LB1936V","LB1936V")</f>
        <v>LB1936V</v>
      </c>
      <c r="C121" t="str">
        <f>HYPERLINK("https://www.onsemi.com/pub/Collateral/LB1936V-D.PDF","LB1936V/D (183.0kB)")</f>
        <v>LB1936V/D (183.0kB)</v>
      </c>
      <c r="D121" t="s">
        <v>270</v>
      </c>
      <c r="E121" s="2" t="s">
        <v>27</v>
      </c>
      <c r="F121" t="s">
        <v>28</v>
      </c>
      <c r="I121" s="2" t="s">
        <v>31</v>
      </c>
      <c r="J121" s="2" t="s">
        <v>142</v>
      </c>
      <c r="K121" s="2" t="s">
        <v>31</v>
      </c>
      <c r="L121" s="2" t="s">
        <v>142</v>
      </c>
      <c r="M121" s="2"/>
      <c r="N121" s="2" t="s">
        <v>26</v>
      </c>
      <c r="O121" t="s">
        <v>32</v>
      </c>
      <c r="P121" s="2" t="s">
        <v>265</v>
      </c>
      <c r="Q121" s="2" t="s">
        <v>34</v>
      </c>
      <c r="R121" s="2" t="s">
        <v>41</v>
      </c>
      <c r="S121" s="2" t="s">
        <v>248</v>
      </c>
      <c r="T121" s="2"/>
      <c r="U121" s="2"/>
      <c r="V121" s="2"/>
      <c r="W121" s="2"/>
      <c r="X121" s="2"/>
      <c r="Y121" s="2" t="s">
        <v>126</v>
      </c>
    </row>
    <row r="122" spans="1:25" ht="25.5" x14ac:dyDescent="0.2">
      <c r="A122" s="5" t="s">
        <v>241</v>
      </c>
      <c r="B122" t="str">
        <f>HYPERLINK("https://www.onsemi.com/PowerSolutions/product.do?id=LB1939T","LB1939T")</f>
        <v>LB1939T</v>
      </c>
      <c r="C122" t="str">
        <f>HYPERLINK("https://www.onsemi.com/pub/Collateral/LB1939T-D.PDF","LB1939T/D (232kB)")</f>
        <v>LB1939T/D (232kB)</v>
      </c>
      <c r="D122" t="s">
        <v>271</v>
      </c>
      <c r="E122" s="2" t="s">
        <v>27</v>
      </c>
      <c r="F122" t="s">
        <v>28</v>
      </c>
      <c r="I122" s="2" t="s">
        <v>107</v>
      </c>
      <c r="J122" s="2" t="s">
        <v>49</v>
      </c>
      <c r="K122" s="2" t="s">
        <v>272</v>
      </c>
      <c r="L122" s="2" t="s">
        <v>49</v>
      </c>
      <c r="M122" s="2"/>
      <c r="N122" s="2" t="s">
        <v>228</v>
      </c>
      <c r="O122" t="s">
        <v>32</v>
      </c>
      <c r="P122" s="2" t="s">
        <v>265</v>
      </c>
      <c r="Q122" s="2" t="s">
        <v>34</v>
      </c>
      <c r="R122" s="2" t="s">
        <v>41</v>
      </c>
      <c r="S122" s="2" t="s">
        <v>244</v>
      </c>
      <c r="T122" s="2"/>
      <c r="U122" s="2"/>
      <c r="V122" s="2"/>
      <c r="W122" s="2"/>
      <c r="X122" s="2"/>
      <c r="Y122" s="2" t="s">
        <v>273</v>
      </c>
    </row>
    <row r="123" spans="1:25" ht="25.5" x14ac:dyDescent="0.2">
      <c r="A123" s="5" t="s">
        <v>241</v>
      </c>
      <c r="B123" t="str">
        <f>HYPERLINK("https://www.onsemi.com/PowerSolutions/product.do?id=LB1940T","LB1940T")</f>
        <v>LB1940T</v>
      </c>
      <c r="C123" t="str">
        <f>HYPERLINK("https://www.onsemi.com/pub/Collateral/LB1940T-D.PDF","LB1940T/D (248kB)")</f>
        <v>LB1940T/D (248kB)</v>
      </c>
      <c r="D123" t="s">
        <v>274</v>
      </c>
      <c r="E123" s="2" t="s">
        <v>27</v>
      </c>
      <c r="F123" t="s">
        <v>28</v>
      </c>
      <c r="I123" s="2" t="s">
        <v>107</v>
      </c>
      <c r="J123" s="2" t="s">
        <v>172</v>
      </c>
      <c r="K123" s="2" t="s">
        <v>107</v>
      </c>
      <c r="L123" s="2" t="s">
        <v>172</v>
      </c>
      <c r="M123" s="2"/>
      <c r="N123" s="2" t="s">
        <v>228</v>
      </c>
      <c r="O123" t="s">
        <v>32</v>
      </c>
      <c r="P123" s="2" t="s">
        <v>33</v>
      </c>
      <c r="Q123" s="2" t="s">
        <v>34</v>
      </c>
      <c r="R123" s="2" t="s">
        <v>41</v>
      </c>
      <c r="S123" s="2" t="s">
        <v>244</v>
      </c>
      <c r="T123" s="2"/>
      <c r="U123" s="2"/>
      <c r="V123" s="2"/>
      <c r="W123" s="2"/>
      <c r="X123" s="2"/>
      <c r="Y123" s="2" t="s">
        <v>273</v>
      </c>
    </row>
    <row r="124" spans="1:25" ht="25.5" x14ac:dyDescent="0.2">
      <c r="A124" s="5" t="s">
        <v>241</v>
      </c>
      <c r="B124" t="str">
        <f>HYPERLINK("https://www.onsemi.com/PowerSolutions/product.do?id=LB1948MC","LB1948MC")</f>
        <v>LB1948MC</v>
      </c>
      <c r="C124" t="str">
        <f>HYPERLINK("https://www.onsemi.com/pub/Collateral/LB1948MC-D.PDF","LB1948MC/D (280kB)")</f>
        <v>LB1948MC/D (280kB)</v>
      </c>
      <c r="D124" t="s">
        <v>275</v>
      </c>
      <c r="E124" s="2" t="s">
        <v>27</v>
      </c>
      <c r="F124" t="s">
        <v>28</v>
      </c>
      <c r="I124" s="2" t="s">
        <v>31</v>
      </c>
      <c r="J124" s="2" t="s">
        <v>99</v>
      </c>
      <c r="K124" s="2" t="s">
        <v>31</v>
      </c>
      <c r="L124" s="2" t="s">
        <v>99</v>
      </c>
      <c r="M124" s="2"/>
      <c r="N124" t="s">
        <v>32</v>
      </c>
      <c r="O124" s="2" t="s">
        <v>26</v>
      </c>
      <c r="P124" s="2" t="s">
        <v>265</v>
      </c>
      <c r="Q124" s="2" t="s">
        <v>34</v>
      </c>
      <c r="R124" s="2" t="s">
        <v>23</v>
      </c>
      <c r="S124" s="2" t="s">
        <v>244</v>
      </c>
      <c r="T124" s="2"/>
      <c r="U124" s="2"/>
      <c r="V124" s="2"/>
      <c r="W124" s="2"/>
      <c r="X124" s="2"/>
      <c r="Y124" s="2" t="s">
        <v>105</v>
      </c>
    </row>
    <row r="125" spans="1:25" ht="25.5" x14ac:dyDescent="0.2">
      <c r="A125" s="5" t="s">
        <v>241</v>
      </c>
      <c r="B125" t="str">
        <f>HYPERLINK("https://www.onsemi.com/PowerSolutions/product.do?id=LB1973JA","LB1973JA")</f>
        <v>LB1973JA</v>
      </c>
      <c r="C125" t="str">
        <f>HYPERLINK("https://www.onsemi.com/pub/Collateral/ENA2014-D.PDF","ENA2014/D (167.0kB)")</f>
        <v>ENA2014/D (167.0kB)</v>
      </c>
      <c r="D125" t="s">
        <v>276</v>
      </c>
      <c r="E125" s="2" t="s">
        <v>27</v>
      </c>
      <c r="F125" t="s">
        <v>28</v>
      </c>
      <c r="I125" s="2" t="s">
        <v>184</v>
      </c>
      <c r="J125" s="2" t="s">
        <v>172</v>
      </c>
      <c r="K125" s="2" t="s">
        <v>184</v>
      </c>
      <c r="L125" s="2" t="s">
        <v>172</v>
      </c>
      <c r="M125" s="2"/>
      <c r="N125" t="s">
        <v>32</v>
      </c>
      <c r="O125" s="2" t="s">
        <v>33</v>
      </c>
      <c r="P125" s="2" t="s">
        <v>265</v>
      </c>
      <c r="Q125" s="2" t="s">
        <v>34</v>
      </c>
      <c r="R125" s="2" t="s">
        <v>23</v>
      </c>
      <c r="S125" s="2" t="s">
        <v>244</v>
      </c>
      <c r="T125" s="2"/>
      <c r="U125" s="2"/>
      <c r="V125" s="2"/>
      <c r="W125" s="2"/>
      <c r="X125" s="2"/>
      <c r="Y125" s="2" t="s">
        <v>126</v>
      </c>
    </row>
    <row r="126" spans="1:25" ht="25.5" x14ac:dyDescent="0.2">
      <c r="A126" s="5" t="s">
        <v>241</v>
      </c>
      <c r="B126" t="str">
        <f>HYPERLINK("https://www.onsemi.com/PowerSolutions/product.do?id=LC898121XA","LC898121XA")</f>
        <v>LC898121XA</v>
      </c>
      <c r="C126" t="str">
        <f>HYPERLINK("https://www.onsemi.com/pub/Collateral/LC898121XA-D.PDF","LC898121XA/D (193kB)")</f>
        <v>LC898121XA/D (193kB)</v>
      </c>
      <c r="D126" t="s">
        <v>277</v>
      </c>
      <c r="E126" s="2" t="s">
        <v>27</v>
      </c>
      <c r="F126" t="s">
        <v>28</v>
      </c>
      <c r="I126" s="2" t="s">
        <v>88</v>
      </c>
      <c r="J126" s="2" t="s">
        <v>17</v>
      </c>
      <c r="K126" s="2" t="s">
        <v>88</v>
      </c>
      <c r="L126" s="2" t="s">
        <v>199</v>
      </c>
      <c r="M126" s="2"/>
      <c r="N126" s="2" t="s">
        <v>278</v>
      </c>
      <c r="O126" t="s">
        <v>32</v>
      </c>
      <c r="P126" t="s">
        <v>32</v>
      </c>
      <c r="Q126" s="2" t="s">
        <v>91</v>
      </c>
      <c r="R126" t="s">
        <v>32</v>
      </c>
      <c r="S126" t="s">
        <v>32</v>
      </c>
      <c r="Y126" s="2" t="s">
        <v>279</v>
      </c>
    </row>
    <row r="127" spans="1:25" ht="25.5" x14ac:dyDescent="0.2">
      <c r="A127" s="5" t="s">
        <v>241</v>
      </c>
      <c r="B127" t="str">
        <f>HYPERLINK("https://www.onsemi.com/PowerSolutions/product.do?id=LC898122AXA","LC898122AXA")</f>
        <v>LC898122AXA</v>
      </c>
      <c r="C127" t="str">
        <f>HYPERLINK("https://www.onsemi.com/pub/Collateral/LC898122AXA-D.PDF","LC898122AXA/D (340kB)")</f>
        <v>LC898122AXA/D (340kB)</v>
      </c>
      <c r="D127" t="s">
        <v>280</v>
      </c>
      <c r="E127" s="2" t="s">
        <v>27</v>
      </c>
      <c r="F127" t="s">
        <v>28</v>
      </c>
      <c r="I127" s="2" t="s">
        <v>88</v>
      </c>
      <c r="J127" s="2" t="s">
        <v>199</v>
      </c>
      <c r="K127" s="2" t="s">
        <v>88</v>
      </c>
      <c r="L127" s="2" t="s">
        <v>199</v>
      </c>
      <c r="M127" s="2"/>
      <c r="N127" s="2" t="s">
        <v>281</v>
      </c>
      <c r="O127" t="s">
        <v>32</v>
      </c>
      <c r="P127" t="s">
        <v>32</v>
      </c>
      <c r="Q127" s="2" t="s">
        <v>195</v>
      </c>
      <c r="R127" t="s">
        <v>32</v>
      </c>
      <c r="S127" t="s">
        <v>32</v>
      </c>
      <c r="Y127" s="2" t="s">
        <v>189</v>
      </c>
    </row>
    <row r="128" spans="1:25" ht="25.5" x14ac:dyDescent="0.2">
      <c r="A128" s="5" t="s">
        <v>241</v>
      </c>
      <c r="B128" t="str">
        <f>HYPERLINK("https://www.onsemi.com/PowerSolutions/product.do?id=LC898122XA","LC898122XA")</f>
        <v>LC898122XA</v>
      </c>
      <c r="C128" t="str">
        <f>HYPERLINK("https://www.onsemi.com/pub/Collateral/LC898122XA-D.PDF","LC898122XA/D (193kB)")</f>
        <v>LC898122XA/D (193kB)</v>
      </c>
      <c r="D128" t="s">
        <v>280</v>
      </c>
      <c r="E128" s="2" t="s">
        <v>27</v>
      </c>
      <c r="F128" t="s">
        <v>28</v>
      </c>
      <c r="I128" s="2" t="s">
        <v>88</v>
      </c>
      <c r="J128" s="2" t="s">
        <v>199</v>
      </c>
      <c r="K128" s="2" t="s">
        <v>88</v>
      </c>
      <c r="L128" s="2" t="s">
        <v>199</v>
      </c>
      <c r="M128" s="2"/>
      <c r="N128" s="2" t="s">
        <v>281</v>
      </c>
      <c r="O128" t="s">
        <v>32</v>
      </c>
      <c r="P128" t="s">
        <v>32</v>
      </c>
      <c r="Q128" s="2" t="s">
        <v>195</v>
      </c>
      <c r="R128" t="s">
        <v>32</v>
      </c>
      <c r="S128" t="s">
        <v>32</v>
      </c>
      <c r="Y128" s="2" t="s">
        <v>189</v>
      </c>
    </row>
    <row r="129" spans="1:25" ht="25.5" x14ac:dyDescent="0.2">
      <c r="A129" s="5" t="s">
        <v>241</v>
      </c>
      <c r="B129" t="str">
        <f>HYPERLINK("https://www.onsemi.com/PowerSolutions/product.do?id=LC898123AXD","LC898123AXD")</f>
        <v>LC898123AXD</v>
      </c>
      <c r="C129" t="str">
        <f>HYPERLINK("https://www.onsemi.com/pub/Collateral/LC898123AXD-D.PDF","LC898123AXD/D (408kB)")</f>
        <v>LC898123AXD/D (408kB)</v>
      </c>
      <c r="D129" t="s">
        <v>280</v>
      </c>
      <c r="E129" s="2" t="s">
        <v>27</v>
      </c>
      <c r="F129" t="s">
        <v>28</v>
      </c>
      <c r="I129" s="2" t="s">
        <v>88</v>
      </c>
      <c r="J129" s="2" t="s">
        <v>199</v>
      </c>
      <c r="K129" s="2" t="s">
        <v>88</v>
      </c>
      <c r="L129" s="2" t="s">
        <v>199</v>
      </c>
      <c r="M129" s="2"/>
      <c r="N129" s="2" t="s">
        <v>282</v>
      </c>
      <c r="O129" s="2" t="s">
        <v>283</v>
      </c>
      <c r="P129" t="s">
        <v>32</v>
      </c>
      <c r="Q129" s="2" t="s">
        <v>91</v>
      </c>
      <c r="R129" s="2" t="s">
        <v>23</v>
      </c>
      <c r="S129" t="s">
        <v>32</v>
      </c>
      <c r="Y129" s="2" t="s">
        <v>180</v>
      </c>
    </row>
    <row r="130" spans="1:25" ht="25.5" x14ac:dyDescent="0.2">
      <c r="A130" s="5" t="s">
        <v>241</v>
      </c>
      <c r="B130" t="str">
        <f>HYPERLINK("https://www.onsemi.com/PowerSolutions/product.do?id=LC898201","LC898201")</f>
        <v>LC898201</v>
      </c>
      <c r="C130" t="str">
        <f>HYPERLINK("https://www.onsemi.com/pub/Collateral/ENA2319-D.PDF","ENA2319/D (562kB)")</f>
        <v>ENA2319/D (562kB)</v>
      </c>
      <c r="D130" t="s">
        <v>284</v>
      </c>
      <c r="E130" s="2" t="s">
        <v>27</v>
      </c>
      <c r="F130" t="s">
        <v>28</v>
      </c>
      <c r="I130" s="2" t="s">
        <v>50</v>
      </c>
      <c r="J130" s="2" t="s">
        <v>17</v>
      </c>
      <c r="K130" s="2" t="s">
        <v>50</v>
      </c>
      <c r="L130" s="2" t="s">
        <v>199</v>
      </c>
      <c r="M130" s="2"/>
      <c r="N130" s="2" t="s">
        <v>285</v>
      </c>
      <c r="O130" s="2" t="s">
        <v>286</v>
      </c>
      <c r="P130" s="2" t="s">
        <v>287</v>
      </c>
      <c r="Q130" s="2" t="s">
        <v>22</v>
      </c>
      <c r="R130" s="2" t="s">
        <v>41</v>
      </c>
      <c r="S130" s="2" t="s">
        <v>244</v>
      </c>
      <c r="T130" s="2"/>
      <c r="U130" s="2"/>
      <c r="V130" s="2"/>
      <c r="W130" s="2"/>
      <c r="X130" s="2"/>
      <c r="Y130" s="2" t="s">
        <v>288</v>
      </c>
    </row>
    <row r="131" spans="1:25" ht="25.5" x14ac:dyDescent="0.2">
      <c r="A131" s="5" t="s">
        <v>241</v>
      </c>
      <c r="B131" t="str">
        <f>HYPERLINK("https://www.onsemi.com/PowerSolutions/product.do?id=LC898212XD","LC898212XD")</f>
        <v>LC898212XD</v>
      </c>
      <c r="C131" t="str">
        <f>HYPERLINK("https://www.onsemi.com/pub/Collateral/ENA2242-D.PDF","ENA2242/D (236kB)")</f>
        <v>ENA2242/D (236kB)</v>
      </c>
      <c r="D131" t="s">
        <v>289</v>
      </c>
      <c r="E131" s="2" t="s">
        <v>27</v>
      </c>
      <c r="F131" t="s">
        <v>28</v>
      </c>
      <c r="I131" s="2" t="s">
        <v>88</v>
      </c>
      <c r="J131" s="2" t="s">
        <v>199</v>
      </c>
      <c r="K131" s="2" t="s">
        <v>88</v>
      </c>
      <c r="L131" s="2" t="s">
        <v>199</v>
      </c>
      <c r="M131" s="2"/>
      <c r="N131" s="2" t="s">
        <v>290</v>
      </c>
      <c r="O131" s="2" t="s">
        <v>291</v>
      </c>
      <c r="P131" t="s">
        <v>32</v>
      </c>
      <c r="Q131" s="2" t="s">
        <v>195</v>
      </c>
      <c r="R131" t="s">
        <v>32</v>
      </c>
      <c r="S131" t="s">
        <v>32</v>
      </c>
      <c r="Y131" s="2" t="s">
        <v>292</v>
      </c>
    </row>
    <row r="132" spans="1:25" ht="25.5" x14ac:dyDescent="0.2">
      <c r="A132" s="5" t="s">
        <v>241</v>
      </c>
      <c r="B132" t="str">
        <f>HYPERLINK("https://www.onsemi.com/PowerSolutions/product.do?id=LC898214XD","LC898214XD")</f>
        <v>LC898214XD</v>
      </c>
      <c r="C132" t="str">
        <f>HYPERLINK("https://www.onsemi.com/pub/Collateral/LC898214XD-D.PDF","LC898214XD/D (377kB)")</f>
        <v>LC898214XD/D (377kB)</v>
      </c>
      <c r="D132" t="s">
        <v>289</v>
      </c>
      <c r="E132" s="2" t="s">
        <v>27</v>
      </c>
      <c r="F132" t="s">
        <v>28</v>
      </c>
      <c r="I132" s="2" t="s">
        <v>88</v>
      </c>
      <c r="J132" s="2" t="s">
        <v>199</v>
      </c>
      <c r="K132" s="2" t="s">
        <v>88</v>
      </c>
      <c r="L132" s="2" t="s">
        <v>199</v>
      </c>
      <c r="M132" s="2"/>
      <c r="N132" s="2" t="s">
        <v>293</v>
      </c>
      <c r="O132" s="2" t="s">
        <v>294</v>
      </c>
      <c r="P132" t="s">
        <v>32</v>
      </c>
      <c r="Q132" s="2" t="s">
        <v>195</v>
      </c>
      <c r="R132" t="s">
        <v>32</v>
      </c>
      <c r="S132" t="s">
        <v>32</v>
      </c>
      <c r="Y132" s="2" t="s">
        <v>196</v>
      </c>
    </row>
    <row r="133" spans="1:25" ht="25.5" x14ac:dyDescent="0.2">
      <c r="A133" s="5" t="s">
        <v>241</v>
      </c>
      <c r="B133" t="str">
        <f>HYPERLINK("https://www.onsemi.com/PowerSolutions/product.do?id=LC898217XC","LC898217XC")</f>
        <v>LC898217XC</v>
      </c>
      <c r="C133" t="str">
        <f>HYPERLINK("https://www.onsemi.com/pub/Collateral/LC898217XC-D.PDF","LC898217XC/D (213kB)")</f>
        <v>LC898217XC/D (213kB)</v>
      </c>
      <c r="D133" t="s">
        <v>295</v>
      </c>
      <c r="E133" s="2" t="s">
        <v>27</v>
      </c>
      <c r="F133" t="s">
        <v>28</v>
      </c>
      <c r="I133" s="2" t="s">
        <v>88</v>
      </c>
      <c r="J133" s="2" t="s">
        <v>89</v>
      </c>
      <c r="K133" s="2" t="s">
        <v>88</v>
      </c>
      <c r="L133" s="2" t="s">
        <v>89</v>
      </c>
      <c r="M133" s="2"/>
      <c r="N133" s="2" t="s">
        <v>191</v>
      </c>
      <c r="O133" t="s">
        <v>32</v>
      </c>
      <c r="P133" t="s">
        <v>32</v>
      </c>
      <c r="Q133" s="2" t="s">
        <v>91</v>
      </c>
      <c r="R133" t="s">
        <v>32</v>
      </c>
      <c r="S133" t="s">
        <v>32</v>
      </c>
      <c r="Y133" s="2" t="s">
        <v>296</v>
      </c>
    </row>
    <row r="134" spans="1:25" ht="25.5" x14ac:dyDescent="0.2">
      <c r="A134" s="5" t="s">
        <v>241</v>
      </c>
      <c r="B134" t="str">
        <f>HYPERLINK("https://www.onsemi.com/PowerSolutions/product.do?id=LC898217XH","LC898217XH")</f>
        <v>LC898217XH</v>
      </c>
      <c r="C134" t="str">
        <f>HYPERLINK("https://www.onsemi.com/pub/Collateral/LC898217XH-D.PDF","LC898217XH/D (238kB)")</f>
        <v>LC898217XH/D (238kB)</v>
      </c>
      <c r="D134" t="s">
        <v>297</v>
      </c>
      <c r="E134" s="2" t="s">
        <v>27</v>
      </c>
      <c r="F134" t="s">
        <v>28</v>
      </c>
      <c r="I134" s="2" t="s">
        <v>88</v>
      </c>
      <c r="J134" s="2" t="s">
        <v>89</v>
      </c>
      <c r="K134" s="2" t="s">
        <v>88</v>
      </c>
      <c r="L134" s="2" t="s">
        <v>89</v>
      </c>
      <c r="M134" s="2"/>
      <c r="N134" s="2" t="s">
        <v>191</v>
      </c>
      <c r="O134" t="s">
        <v>32</v>
      </c>
      <c r="P134" t="s">
        <v>32</v>
      </c>
      <c r="Q134" s="2" t="s">
        <v>91</v>
      </c>
      <c r="R134" t="s">
        <v>32</v>
      </c>
      <c r="S134" t="s">
        <v>32</v>
      </c>
      <c r="Y134" s="2" t="s">
        <v>296</v>
      </c>
    </row>
    <row r="135" spans="1:25" ht="25.5" x14ac:dyDescent="0.2">
      <c r="A135" s="5" t="s">
        <v>241</v>
      </c>
      <c r="B135" t="str">
        <f>HYPERLINK("https://www.onsemi.com/PowerSolutions/product.do?id=LC898219XI","LC898219XI")</f>
        <v>LC898219XI</v>
      </c>
      <c r="C135" t="str">
        <f>HYPERLINK("https://www.onsemi.com/pub/Collateral/LC898219XI-D.PDF","LC898219XI/D (263kB)")</f>
        <v>LC898219XI/D (263kB)</v>
      </c>
      <c r="D135" t="s">
        <v>289</v>
      </c>
      <c r="E135" s="2" t="s">
        <v>27</v>
      </c>
      <c r="F135" t="s">
        <v>28</v>
      </c>
      <c r="I135" s="2" t="s">
        <v>88</v>
      </c>
      <c r="J135" s="2" t="s">
        <v>89</v>
      </c>
      <c r="K135" t="s">
        <v>32</v>
      </c>
      <c r="L135" t="s">
        <v>32</v>
      </c>
      <c r="N135" s="2" t="s">
        <v>298</v>
      </c>
      <c r="O135" t="s">
        <v>32</v>
      </c>
      <c r="P135" t="s">
        <v>32</v>
      </c>
      <c r="Q135" s="2" t="s">
        <v>91</v>
      </c>
      <c r="R135" t="s">
        <v>32</v>
      </c>
      <c r="S135" t="s">
        <v>32</v>
      </c>
      <c r="Y135" s="2" t="s">
        <v>196</v>
      </c>
    </row>
    <row r="136" spans="1:25" ht="63.75" x14ac:dyDescent="0.2">
      <c r="A136" s="5" t="s">
        <v>241</v>
      </c>
      <c r="B136" t="str">
        <f>HYPERLINK("https://www.onsemi.com/PowerSolutions/product.do?id=LC898240","LC898240")</f>
        <v>LC898240</v>
      </c>
      <c r="C136" t="str">
        <f>HYPERLINK("https://www.onsemi.com/pub/Collateral/LC898240-D.PDF","LC898240/D (436kB)")</f>
        <v>LC898240/D (436kB)</v>
      </c>
      <c r="D136" t="s">
        <v>299</v>
      </c>
      <c r="E136" s="2" t="s">
        <v>27</v>
      </c>
      <c r="F136" t="s">
        <v>28</v>
      </c>
      <c r="I136" s="2" t="s">
        <v>37</v>
      </c>
      <c r="J136" s="2" t="s">
        <v>199</v>
      </c>
      <c r="K136" s="2" t="s">
        <v>37</v>
      </c>
      <c r="L136" s="2" t="s">
        <v>17</v>
      </c>
      <c r="M136" s="2"/>
      <c r="N136" t="s">
        <v>32</v>
      </c>
      <c r="O136" t="s">
        <v>32</v>
      </c>
      <c r="P136" s="2" t="s">
        <v>300</v>
      </c>
      <c r="Q136" s="2" t="s">
        <v>301</v>
      </c>
      <c r="R136" t="s">
        <v>32</v>
      </c>
      <c r="S136" s="2" t="s">
        <v>302</v>
      </c>
      <c r="T136" s="2"/>
      <c r="U136" s="2"/>
      <c r="V136" s="2"/>
      <c r="W136" s="2"/>
      <c r="X136" s="2"/>
      <c r="Y136" s="2" t="s">
        <v>203</v>
      </c>
    </row>
    <row r="137" spans="1:25" ht="25.5" x14ac:dyDescent="0.2">
      <c r="A137" s="5" t="s">
        <v>241</v>
      </c>
      <c r="B137" t="str">
        <f>HYPERLINK("https://www.onsemi.com/PowerSolutions/product.do?id=LV8402GP","LV8402GP")</f>
        <v>LV8402GP</v>
      </c>
      <c r="C137" t="str">
        <f>HYPERLINK("https://www.onsemi.com/pub/Collateral/LV8402GP-D.PDF","LV8402GP/D (116.0kB)")</f>
        <v>LV8402GP/D (116.0kB)</v>
      </c>
      <c r="D137" t="s">
        <v>303</v>
      </c>
      <c r="E137" s="2" t="s">
        <v>27</v>
      </c>
      <c r="F137" t="s">
        <v>28</v>
      </c>
      <c r="I137" s="2" t="s">
        <v>125</v>
      </c>
      <c r="J137" s="2" t="s">
        <v>99</v>
      </c>
      <c r="K137" s="2" t="s">
        <v>103</v>
      </c>
      <c r="L137" s="2" t="s">
        <v>57</v>
      </c>
      <c r="M137" s="2"/>
      <c r="N137" s="2" t="s">
        <v>304</v>
      </c>
      <c r="O137" s="2" t="s">
        <v>31</v>
      </c>
      <c r="P137" s="2" t="s">
        <v>265</v>
      </c>
      <c r="Q137" s="2" t="s">
        <v>34</v>
      </c>
      <c r="R137" s="2" t="s">
        <v>23</v>
      </c>
      <c r="S137" s="2" t="s">
        <v>260</v>
      </c>
      <c r="T137" s="2"/>
      <c r="U137" s="2"/>
      <c r="V137" s="2"/>
      <c r="W137" s="2"/>
      <c r="X137" s="2"/>
      <c r="Y137" s="2" t="s">
        <v>119</v>
      </c>
    </row>
    <row r="138" spans="1:25" x14ac:dyDescent="0.2">
      <c r="A138" s="5" t="s">
        <v>241</v>
      </c>
      <c r="B138" t="str">
        <f>HYPERLINK("https://www.onsemi.com/PowerSolutions/product.do?id=LV8405V","LV8405V")</f>
        <v>LV8405V</v>
      </c>
      <c r="C138" t="str">
        <f>HYPERLINK("https://www.onsemi.com/pub/Collateral/LV8405V-D.PDF","LV8405V/D (89.0kB)")</f>
        <v>LV8405V/D (89.0kB)</v>
      </c>
      <c r="D138" t="s">
        <v>305</v>
      </c>
      <c r="E138" s="2" t="s">
        <v>40</v>
      </c>
      <c r="F138" t="s">
        <v>28</v>
      </c>
      <c r="I138" s="2" t="s">
        <v>125</v>
      </c>
      <c r="J138" s="2" t="s">
        <v>99</v>
      </c>
      <c r="K138" s="2" t="s">
        <v>103</v>
      </c>
      <c r="L138" s="2" t="s">
        <v>17</v>
      </c>
      <c r="M138" s="2"/>
      <c r="N138" s="2" t="s">
        <v>304</v>
      </c>
      <c r="O138" s="2" t="s">
        <v>31</v>
      </c>
      <c r="P138" s="2" t="s">
        <v>265</v>
      </c>
      <c r="Q138" s="2" t="s">
        <v>34</v>
      </c>
      <c r="R138" s="2" t="s">
        <v>23</v>
      </c>
      <c r="S138" s="2" t="s">
        <v>260</v>
      </c>
      <c r="T138" s="2"/>
      <c r="U138" s="2"/>
      <c r="V138" s="2"/>
      <c r="W138" s="2"/>
      <c r="X138" s="2"/>
      <c r="Y138" s="2" t="s">
        <v>126</v>
      </c>
    </row>
    <row r="139" spans="1:25" x14ac:dyDescent="0.2">
      <c r="A139" s="5" t="s">
        <v>241</v>
      </c>
      <c r="B139" t="str">
        <f>HYPERLINK("https://www.onsemi.com/PowerSolutions/product.do?id=LV8411GR","LV8411GR")</f>
        <v>LV8411GR</v>
      </c>
      <c r="C139" t="str">
        <f>HYPERLINK("https://www.onsemi.com/pub/Collateral/LV8411GR-D.PDF","LV8411GR/D (105.0kB)")</f>
        <v>LV8411GR/D (105.0kB)</v>
      </c>
      <c r="D139" t="s">
        <v>306</v>
      </c>
      <c r="E139" s="2" t="s">
        <v>40</v>
      </c>
      <c r="F139" t="s">
        <v>28</v>
      </c>
      <c r="I139" s="2" t="s">
        <v>31</v>
      </c>
      <c r="J139" s="2" t="s">
        <v>17</v>
      </c>
      <c r="K139" s="2" t="s">
        <v>31</v>
      </c>
      <c r="L139" s="2" t="s">
        <v>17</v>
      </c>
      <c r="M139" s="2"/>
      <c r="N139" s="2" t="s">
        <v>228</v>
      </c>
      <c r="O139" s="2" t="s">
        <v>111</v>
      </c>
      <c r="P139" s="2" t="s">
        <v>33</v>
      </c>
      <c r="Q139" s="2" t="s">
        <v>34</v>
      </c>
      <c r="R139" s="2" t="s">
        <v>23</v>
      </c>
      <c r="S139" s="2" t="s">
        <v>244</v>
      </c>
      <c r="T139" s="2"/>
      <c r="U139" s="2"/>
      <c r="V139" s="2"/>
      <c r="W139" s="2"/>
      <c r="X139" s="2"/>
      <c r="Y139" s="2" t="s">
        <v>119</v>
      </c>
    </row>
    <row r="140" spans="1:25" ht="25.5" x14ac:dyDescent="0.2">
      <c r="A140" s="5" t="s">
        <v>241</v>
      </c>
      <c r="B140" t="str">
        <f>HYPERLINK("https://www.onsemi.com/PowerSolutions/product.do?id=LV8413GP","LV8413GP")</f>
        <v>LV8413GP</v>
      </c>
      <c r="C140" t="str">
        <f>HYPERLINK("https://www.onsemi.com/pub/Collateral/LV8413GP-D.PDF","LV8413GP/D (99.0kB)")</f>
        <v>LV8413GP/D (99.0kB)</v>
      </c>
      <c r="D140" t="s">
        <v>307</v>
      </c>
      <c r="E140" s="2" t="s">
        <v>27</v>
      </c>
      <c r="F140" t="s">
        <v>28</v>
      </c>
      <c r="I140" s="2" t="s">
        <v>31</v>
      </c>
      <c r="J140" s="2" t="s">
        <v>17</v>
      </c>
      <c r="K140" s="2" t="s">
        <v>31</v>
      </c>
      <c r="L140" s="2" t="s">
        <v>57</v>
      </c>
      <c r="M140" s="2"/>
      <c r="N140" s="2" t="s">
        <v>228</v>
      </c>
      <c r="O140" s="2" t="s">
        <v>111</v>
      </c>
      <c r="P140" s="2" t="s">
        <v>33</v>
      </c>
      <c r="Q140" s="2" t="s">
        <v>34</v>
      </c>
      <c r="R140" s="2" t="s">
        <v>23</v>
      </c>
      <c r="S140" s="2" t="s">
        <v>260</v>
      </c>
      <c r="T140" s="2"/>
      <c r="U140" s="2"/>
      <c r="V140" s="2"/>
      <c r="W140" s="2"/>
      <c r="X140" s="2"/>
      <c r="Y140" s="2" t="s">
        <v>308</v>
      </c>
    </row>
    <row r="141" spans="1:25" ht="25.5" x14ac:dyDescent="0.2">
      <c r="A141" s="5" t="s">
        <v>241</v>
      </c>
      <c r="B141" t="str">
        <f>HYPERLINK("https://www.onsemi.com/PowerSolutions/product.do?id=LV8414CS","LV8414CS")</f>
        <v>LV8414CS</v>
      </c>
      <c r="C141" t="str">
        <f>HYPERLINK("https://www.onsemi.com/pub/Collateral/LV8414CS-D.PDF","LV8414CS/D (706kB)")</f>
        <v>LV8414CS/D (706kB)</v>
      </c>
      <c r="D141" t="s">
        <v>309</v>
      </c>
      <c r="E141" s="2" t="s">
        <v>27</v>
      </c>
      <c r="F141" t="s">
        <v>28</v>
      </c>
      <c r="I141" s="2" t="s">
        <v>31</v>
      </c>
      <c r="J141" s="2" t="s">
        <v>57</v>
      </c>
      <c r="K141" s="2" t="s">
        <v>31</v>
      </c>
      <c r="L141" s="2" t="s">
        <v>57</v>
      </c>
      <c r="M141" s="2"/>
      <c r="N141" s="2" t="s">
        <v>228</v>
      </c>
      <c r="O141" s="2" t="s">
        <v>111</v>
      </c>
      <c r="P141" s="2" t="s">
        <v>33</v>
      </c>
      <c r="Q141" s="2" t="s">
        <v>195</v>
      </c>
      <c r="R141" s="2" t="s">
        <v>41</v>
      </c>
      <c r="S141" s="2" t="s">
        <v>244</v>
      </c>
      <c r="T141" s="2"/>
      <c r="U141" s="2"/>
      <c r="V141" s="2"/>
      <c r="W141" s="2"/>
      <c r="X141" s="2"/>
      <c r="Y141" s="2" t="s">
        <v>310</v>
      </c>
    </row>
    <row r="142" spans="1:25" ht="25.5" x14ac:dyDescent="0.2">
      <c r="A142" s="5" t="s">
        <v>241</v>
      </c>
      <c r="B142" t="str">
        <f>HYPERLINK("https://www.onsemi.com/PowerSolutions/product.do?id=LV8548MC","LV8548MC")</f>
        <v>LV8548MC</v>
      </c>
      <c r="C142" t="str">
        <f>HYPERLINK("https://www.onsemi.com/pub/Collateral/LV8548MC-D.PDF","LV8548MC/D (451kB)")</f>
        <v>LV8548MC/D (451kB)</v>
      </c>
      <c r="D142" t="s">
        <v>311</v>
      </c>
      <c r="E142" s="2" t="s">
        <v>27</v>
      </c>
      <c r="F142" t="s">
        <v>28</v>
      </c>
      <c r="I142" s="2" t="s">
        <v>55</v>
      </c>
      <c r="J142" s="2" t="s">
        <v>99</v>
      </c>
      <c r="K142" s="2" t="s">
        <v>55</v>
      </c>
      <c r="L142" s="2" t="s">
        <v>99</v>
      </c>
      <c r="M142" s="2"/>
      <c r="N142" t="s">
        <v>32</v>
      </c>
      <c r="O142" s="2" t="s">
        <v>33</v>
      </c>
      <c r="P142" s="2" t="s">
        <v>33</v>
      </c>
      <c r="Q142" s="2" t="s">
        <v>34</v>
      </c>
      <c r="R142" s="2" t="s">
        <v>23</v>
      </c>
      <c r="S142" s="2" t="s">
        <v>244</v>
      </c>
      <c r="T142" s="2"/>
      <c r="U142" s="2"/>
      <c r="V142" s="2"/>
      <c r="W142" s="2"/>
      <c r="X142" s="2"/>
      <c r="Y142" s="2" t="s">
        <v>35</v>
      </c>
    </row>
    <row r="143" spans="1:25" ht="25.5" x14ac:dyDescent="0.2">
      <c r="A143" s="5" t="s">
        <v>241</v>
      </c>
      <c r="B143" t="str">
        <f>HYPERLINK("https://www.onsemi.com/PowerSolutions/product.do?id=LV8549MC","LV8549MC")</f>
        <v>LV8549MC</v>
      </c>
      <c r="C143" t="str">
        <f>HYPERLINK("https://www.onsemi.com/pub/Collateral/ENA2039-D.PDF","ENA2039/D (382kB)")</f>
        <v>ENA2039/D (382kB)</v>
      </c>
      <c r="D143" t="s">
        <v>312</v>
      </c>
      <c r="E143" s="2" t="s">
        <v>27</v>
      </c>
      <c r="F143" t="s">
        <v>28</v>
      </c>
      <c r="I143" s="2" t="s">
        <v>55</v>
      </c>
      <c r="J143" s="2" t="s">
        <v>99</v>
      </c>
      <c r="K143" s="2" t="s">
        <v>55</v>
      </c>
      <c r="L143" s="2" t="s">
        <v>99</v>
      </c>
      <c r="M143" s="2"/>
      <c r="N143" t="s">
        <v>32</v>
      </c>
      <c r="O143" s="2" t="s">
        <v>33</v>
      </c>
      <c r="P143" s="2" t="s">
        <v>33</v>
      </c>
      <c r="Q143" s="2" t="s">
        <v>34</v>
      </c>
      <c r="R143" s="2" t="s">
        <v>23</v>
      </c>
      <c r="S143" s="2" t="s">
        <v>260</v>
      </c>
      <c r="T143" s="2"/>
      <c r="U143" s="2"/>
      <c r="V143" s="2"/>
      <c r="W143" s="2"/>
      <c r="X143" s="2"/>
      <c r="Y143" s="2" t="s">
        <v>35</v>
      </c>
    </row>
    <row r="144" spans="1:25" ht="38.25" x14ac:dyDescent="0.2">
      <c r="A144" s="5" t="s">
        <v>241</v>
      </c>
      <c r="B144" t="str">
        <f>HYPERLINK("https://www.onsemi.com/PowerSolutions/product.do?id=LV8702V","LV8702V")</f>
        <v>LV8702V</v>
      </c>
      <c r="C144" t="str">
        <f>HYPERLINK("https://www.onsemi.com/pub/Collateral/LV8702V-D.PDF","LV8702V/D (488kB)")</f>
        <v>LV8702V/D (488kB)</v>
      </c>
      <c r="D144" t="s">
        <v>313</v>
      </c>
      <c r="E144" s="2" t="s">
        <v>27</v>
      </c>
      <c r="F144" t="s">
        <v>28</v>
      </c>
      <c r="I144" s="2" t="s">
        <v>30</v>
      </c>
      <c r="J144" s="2" t="s">
        <v>314</v>
      </c>
      <c r="K144" t="s">
        <v>32</v>
      </c>
      <c r="L144" t="s">
        <v>32</v>
      </c>
      <c r="N144" s="2" t="s">
        <v>31</v>
      </c>
      <c r="O144" s="2" t="s">
        <v>37</v>
      </c>
      <c r="P144" s="2" t="s">
        <v>315</v>
      </c>
      <c r="Q144" s="2" t="s">
        <v>147</v>
      </c>
      <c r="R144" s="2" t="s">
        <v>41</v>
      </c>
      <c r="S144" s="2" t="s">
        <v>244</v>
      </c>
      <c r="T144" s="2"/>
      <c r="U144" s="2"/>
      <c r="V144" s="2"/>
      <c r="W144" s="2"/>
      <c r="X144" s="2"/>
      <c r="Y144" s="2" t="s">
        <v>316</v>
      </c>
    </row>
    <row r="145" spans="1:25" ht="25.5" x14ac:dyDescent="0.2">
      <c r="A145" s="5" t="s">
        <v>241</v>
      </c>
      <c r="B145" t="str">
        <f>HYPERLINK("https://www.onsemi.com/PowerSolutions/product.do?id=LV8711T","LV8711T")</f>
        <v>LV8711T</v>
      </c>
      <c r="C145" t="str">
        <f>HYPERLINK("https://www.onsemi.com/pub/Collateral/LV8711T-D.PDF","LV8711T/D (285.0kB)")</f>
        <v>LV8711T/D (285.0kB)</v>
      </c>
      <c r="D145" t="s">
        <v>317</v>
      </c>
      <c r="E145" s="2" t="s">
        <v>27</v>
      </c>
      <c r="F145" t="s">
        <v>28</v>
      </c>
      <c r="I145" s="2" t="s">
        <v>55</v>
      </c>
      <c r="J145" s="2" t="s">
        <v>99</v>
      </c>
      <c r="K145" s="2" t="s">
        <v>50</v>
      </c>
      <c r="L145" s="2" t="s">
        <v>17</v>
      </c>
      <c r="M145" s="2"/>
      <c r="N145" s="2" t="s">
        <v>26</v>
      </c>
      <c r="O145" s="2" t="s">
        <v>33</v>
      </c>
      <c r="P145" s="2" t="s">
        <v>265</v>
      </c>
      <c r="Q145" s="2" t="s">
        <v>34</v>
      </c>
      <c r="R145" s="2" t="s">
        <v>41</v>
      </c>
      <c r="S145" s="2" t="s">
        <v>260</v>
      </c>
      <c r="T145" s="2"/>
      <c r="U145" s="2"/>
      <c r="V145" s="2"/>
      <c r="W145" s="2"/>
      <c r="X145" s="2"/>
      <c r="Y145" s="2" t="s">
        <v>122</v>
      </c>
    </row>
    <row r="146" spans="1:25" ht="25.5" x14ac:dyDescent="0.2">
      <c r="A146" s="5" t="s">
        <v>241</v>
      </c>
      <c r="B146" t="str">
        <f>HYPERLINK("https://www.onsemi.com/PowerSolutions/product.do?id=LV8712T","LV8712T")</f>
        <v>LV8712T</v>
      </c>
      <c r="C146" t="str">
        <f>HYPERLINK("https://www.onsemi.com/pub/Collateral/LV8712T-D.PDF","LV8712T/D (193.0kB)")</f>
        <v>LV8712T/D (193.0kB)</v>
      </c>
      <c r="D146" t="s">
        <v>318</v>
      </c>
      <c r="E146" s="2" t="s">
        <v>27</v>
      </c>
      <c r="F146" t="s">
        <v>28</v>
      </c>
      <c r="I146" s="2" t="s">
        <v>55</v>
      </c>
      <c r="J146" s="2" t="s">
        <v>99</v>
      </c>
      <c r="K146" s="2" t="s">
        <v>50</v>
      </c>
      <c r="L146" s="2" t="s">
        <v>17</v>
      </c>
      <c r="M146" s="2"/>
      <c r="N146" s="2" t="s">
        <v>26</v>
      </c>
      <c r="O146" s="2" t="s">
        <v>33</v>
      </c>
      <c r="P146" s="2" t="s">
        <v>319</v>
      </c>
      <c r="Q146" s="2" t="s">
        <v>147</v>
      </c>
      <c r="R146" s="2" t="s">
        <v>41</v>
      </c>
      <c r="S146" s="2" t="s">
        <v>320</v>
      </c>
      <c r="T146" s="2"/>
      <c r="U146" s="2"/>
      <c r="V146" s="2"/>
      <c r="W146" s="2"/>
      <c r="X146" s="2"/>
      <c r="Y146" s="2" t="s">
        <v>122</v>
      </c>
    </row>
    <row r="147" spans="1:25" ht="25.5" x14ac:dyDescent="0.2">
      <c r="A147" s="5" t="s">
        <v>241</v>
      </c>
      <c r="B147" t="str">
        <f>HYPERLINK("https://www.onsemi.com/PowerSolutions/product.do?id=LV8713T","LV8713T")</f>
        <v>LV8713T</v>
      </c>
      <c r="C147" t="str">
        <f>HYPERLINK("https://www.onsemi.com/pub/Collateral/LV8713T-D.PDF","LV8713T/D (243.0kB)")</f>
        <v>LV8713T/D (243.0kB)</v>
      </c>
      <c r="D147" t="s">
        <v>321</v>
      </c>
      <c r="E147" s="2" t="s">
        <v>27</v>
      </c>
      <c r="F147" t="s">
        <v>28</v>
      </c>
      <c r="I147" s="2" t="s">
        <v>55</v>
      </c>
      <c r="J147" s="2" t="s">
        <v>99</v>
      </c>
      <c r="K147" s="2" t="s">
        <v>50</v>
      </c>
      <c r="L147" s="2" t="s">
        <v>17</v>
      </c>
      <c r="M147" s="2"/>
      <c r="N147" s="2" t="s">
        <v>26</v>
      </c>
      <c r="O147" s="2" t="s">
        <v>33</v>
      </c>
      <c r="P147" s="2" t="s">
        <v>247</v>
      </c>
      <c r="Q147" s="2" t="s">
        <v>147</v>
      </c>
      <c r="R147" s="2" t="s">
        <v>41</v>
      </c>
      <c r="S147" s="2" t="s">
        <v>320</v>
      </c>
      <c r="T147" s="2"/>
      <c r="U147" s="2"/>
      <c r="V147" s="2"/>
      <c r="W147" s="2"/>
      <c r="X147" s="2"/>
      <c r="Y147" s="2" t="s">
        <v>122</v>
      </c>
    </row>
    <row r="148" spans="1:25" ht="25.5" x14ac:dyDescent="0.2">
      <c r="A148" s="5" t="s">
        <v>241</v>
      </c>
      <c r="B148" t="str">
        <f>HYPERLINK("https://www.onsemi.com/PowerSolutions/product.do?id=LV8714TA","LV8714TA")</f>
        <v>LV8714TA</v>
      </c>
      <c r="C148" t="str">
        <f>HYPERLINK("https://www.onsemi.com/pub/Collateral/LV8714TA-D.PDF","LV8714TA/D (1182kB)")</f>
        <v>LV8714TA/D (1182kB)</v>
      </c>
      <c r="D148" t="s">
        <v>322</v>
      </c>
      <c r="E148" s="2" t="s">
        <v>27</v>
      </c>
      <c r="F148" t="s">
        <v>28</v>
      </c>
      <c r="I148" s="2" t="s">
        <v>55</v>
      </c>
      <c r="J148" s="2" t="s">
        <v>209</v>
      </c>
      <c r="K148" t="s">
        <v>32</v>
      </c>
      <c r="L148" t="s">
        <v>32</v>
      </c>
      <c r="N148" s="2" t="s">
        <v>125</v>
      </c>
      <c r="O148" s="2" t="s">
        <v>323</v>
      </c>
      <c r="P148" s="2" t="s">
        <v>33</v>
      </c>
      <c r="Q148" s="2" t="s">
        <v>34</v>
      </c>
      <c r="R148" s="2" t="s">
        <v>41</v>
      </c>
      <c r="S148" s="2" t="s">
        <v>248</v>
      </c>
      <c r="T148" s="2"/>
      <c r="U148" s="2"/>
      <c r="V148" s="2"/>
      <c r="W148" s="2"/>
      <c r="X148" s="2"/>
      <c r="Y148" s="2" t="s">
        <v>324</v>
      </c>
    </row>
    <row r="149" spans="1:25" ht="25.5" x14ac:dyDescent="0.2">
      <c r="A149" s="5" t="s">
        <v>241</v>
      </c>
      <c r="B149" t="str">
        <f>HYPERLINK("https://www.onsemi.com/PowerSolutions/product.do?id=LV8716QA","LV8716QA")</f>
        <v>LV8716QA</v>
      </c>
      <c r="C149" t="str">
        <f>HYPERLINK("https://www.onsemi.com/pub/Collateral/ENA2254-D.PDF","ENA2254/D (473kB)")</f>
        <v>ENA2254/D (473kB)</v>
      </c>
      <c r="D149" t="s">
        <v>325</v>
      </c>
      <c r="E149" s="2" t="s">
        <v>27</v>
      </c>
      <c r="F149" t="s">
        <v>28</v>
      </c>
      <c r="I149" s="2" t="s">
        <v>50</v>
      </c>
      <c r="J149" s="2" t="s">
        <v>49</v>
      </c>
      <c r="K149" s="2" t="s">
        <v>50</v>
      </c>
      <c r="L149" s="2" t="s">
        <v>49</v>
      </c>
      <c r="M149" s="2"/>
      <c r="N149" s="2" t="s">
        <v>33</v>
      </c>
      <c r="O149" s="2" t="s">
        <v>125</v>
      </c>
      <c r="P149" s="2" t="s">
        <v>326</v>
      </c>
      <c r="Q149" s="2" t="s">
        <v>34</v>
      </c>
      <c r="R149" s="2" t="s">
        <v>41</v>
      </c>
      <c r="S149" s="2" t="s">
        <v>248</v>
      </c>
      <c r="T149" s="2"/>
      <c r="U149" s="2"/>
      <c r="V149" s="2"/>
      <c r="W149" s="2"/>
      <c r="X149" s="2"/>
      <c r="Y149" s="2" t="s">
        <v>327</v>
      </c>
    </row>
    <row r="150" spans="1:25" ht="102" x14ac:dyDescent="0.2">
      <c r="A150" s="5" t="s">
        <v>241</v>
      </c>
      <c r="B150" t="str">
        <f>HYPERLINK("https://www.onsemi.com/PowerSolutions/product.do?id=LV8728MR","LV8728MR")</f>
        <v>LV8728MR</v>
      </c>
      <c r="C150" t="str">
        <f>HYPERLINK("https://www.onsemi.com/pub/Collateral/LV8728MR-D.PDF","LV8728MR/D (808kB)")</f>
        <v>LV8728MR/D (808kB)</v>
      </c>
      <c r="D150" t="s">
        <v>328</v>
      </c>
      <c r="E150" s="2" t="s">
        <v>27</v>
      </c>
      <c r="F150" t="s">
        <v>28</v>
      </c>
      <c r="I150" s="2" t="s">
        <v>30</v>
      </c>
      <c r="J150" s="2" t="s">
        <v>314</v>
      </c>
      <c r="K150" t="s">
        <v>32</v>
      </c>
      <c r="L150" t="s">
        <v>32</v>
      </c>
      <c r="N150" s="2" t="s">
        <v>21</v>
      </c>
      <c r="O150" t="s">
        <v>32</v>
      </c>
      <c r="P150" s="2" t="s">
        <v>329</v>
      </c>
      <c r="Q150" s="2" t="s">
        <v>147</v>
      </c>
      <c r="R150" s="2" t="s">
        <v>41</v>
      </c>
      <c r="S150" s="2" t="s">
        <v>262</v>
      </c>
      <c r="T150" s="2"/>
      <c r="U150" s="2"/>
      <c r="V150" s="2"/>
      <c r="W150" s="2"/>
      <c r="X150" s="2"/>
      <c r="Y150" s="2" t="s">
        <v>330</v>
      </c>
    </row>
    <row r="151" spans="1:25" ht="25.5" x14ac:dyDescent="0.2">
      <c r="A151" s="5" t="s">
        <v>241</v>
      </c>
      <c r="B151" t="str">
        <f>HYPERLINK("https://www.onsemi.com/PowerSolutions/product.do?id=LV8729V","LV8729V")</f>
        <v>LV8729V</v>
      </c>
      <c r="C151" t="str">
        <f>HYPERLINK("https://www.onsemi.com/pub/Collateral/LV8729V-D.PDF","LV8729V/D (718kB)")</f>
        <v>LV8729V/D (718kB)</v>
      </c>
      <c r="D151" t="s">
        <v>331</v>
      </c>
      <c r="E151" s="2" t="s">
        <v>27</v>
      </c>
      <c r="F151" t="s">
        <v>28</v>
      </c>
      <c r="I151" s="2" t="s">
        <v>30</v>
      </c>
      <c r="J151" s="2" t="s">
        <v>314</v>
      </c>
      <c r="K151" s="2" t="s">
        <v>30</v>
      </c>
      <c r="L151" s="2" t="s">
        <v>314</v>
      </c>
      <c r="M151" s="2"/>
      <c r="N151" s="2" t="s">
        <v>184</v>
      </c>
      <c r="O151" t="s">
        <v>32</v>
      </c>
      <c r="P151" s="2" t="s">
        <v>243</v>
      </c>
      <c r="Q151" s="2" t="s">
        <v>147</v>
      </c>
      <c r="R151" s="2" t="s">
        <v>41</v>
      </c>
      <c r="S151" s="2" t="s">
        <v>248</v>
      </c>
      <c r="T151" s="2"/>
      <c r="U151" s="2"/>
      <c r="V151" s="2"/>
      <c r="W151" s="2"/>
      <c r="X151" s="2"/>
      <c r="Y151" s="2" t="s">
        <v>206</v>
      </c>
    </row>
    <row r="152" spans="1:25" ht="25.5" x14ac:dyDescent="0.2">
      <c r="A152" s="5" t="s">
        <v>241</v>
      </c>
      <c r="B152" t="str">
        <f>HYPERLINK("https://www.onsemi.com/PowerSolutions/product.do?id=LV8731V","LV8731V")</f>
        <v>LV8731V</v>
      </c>
      <c r="C152" t="str">
        <f>HYPERLINK("https://www.onsemi.com/pub/Collateral/LV8731V-D.PDF","LV8731V/D (306kB)")</f>
        <v>LV8731V/D (306kB)</v>
      </c>
      <c r="D152" t="s">
        <v>317</v>
      </c>
      <c r="E152" s="2" t="s">
        <v>27</v>
      </c>
      <c r="F152" t="s">
        <v>28</v>
      </c>
      <c r="I152" s="2" t="s">
        <v>30</v>
      </c>
      <c r="J152" s="2" t="s">
        <v>314</v>
      </c>
      <c r="K152" t="s">
        <v>32</v>
      </c>
      <c r="L152" t="s">
        <v>32</v>
      </c>
      <c r="N152" s="2" t="s">
        <v>21</v>
      </c>
      <c r="O152" s="2" t="s">
        <v>31</v>
      </c>
      <c r="P152" s="2" t="s">
        <v>33</v>
      </c>
      <c r="Q152" s="2" t="s">
        <v>332</v>
      </c>
      <c r="R152" s="2" t="s">
        <v>41</v>
      </c>
      <c r="S152" s="2" t="s">
        <v>248</v>
      </c>
      <c r="T152" s="2"/>
      <c r="U152" s="2"/>
      <c r="V152" s="2"/>
      <c r="W152" s="2"/>
      <c r="X152" s="2"/>
      <c r="Y152" s="2" t="s">
        <v>206</v>
      </c>
    </row>
    <row r="153" spans="1:25" ht="25.5" x14ac:dyDescent="0.2">
      <c r="A153" s="5" t="s">
        <v>241</v>
      </c>
      <c r="B153" t="str">
        <f>HYPERLINK("https://www.onsemi.com/PowerSolutions/product.do?id=LV8732V","LV8732V")</f>
        <v>LV8732V</v>
      </c>
      <c r="C153" t="str">
        <f>HYPERLINK("https://www.onsemi.com/pub/Collateral/LV8732V-D.PDF","LV8732V/D (568.0kB)")</f>
        <v>LV8732V/D (568.0kB)</v>
      </c>
      <c r="D153" t="s">
        <v>317</v>
      </c>
      <c r="E153" s="2" t="s">
        <v>27</v>
      </c>
      <c r="F153" t="s">
        <v>28</v>
      </c>
      <c r="I153" s="2" t="s">
        <v>30</v>
      </c>
      <c r="J153" s="2" t="s">
        <v>314</v>
      </c>
      <c r="K153" s="2" t="s">
        <v>30</v>
      </c>
      <c r="L153" s="2" t="s">
        <v>314</v>
      </c>
      <c r="M153" s="2"/>
      <c r="N153" s="2" t="s">
        <v>21</v>
      </c>
      <c r="O153" s="2" t="s">
        <v>31</v>
      </c>
      <c r="P153" s="2" t="s">
        <v>319</v>
      </c>
      <c r="Q153" s="2" t="s">
        <v>34</v>
      </c>
      <c r="R153" s="2" t="s">
        <v>41</v>
      </c>
      <c r="S153" s="2" t="s">
        <v>248</v>
      </c>
      <c r="T153" s="2"/>
      <c r="U153" s="2"/>
      <c r="V153" s="2"/>
      <c r="W153" s="2"/>
      <c r="X153" s="2"/>
      <c r="Y153" s="2" t="s">
        <v>206</v>
      </c>
    </row>
    <row r="154" spans="1:25" ht="25.5" x14ac:dyDescent="0.2">
      <c r="A154" s="5" t="s">
        <v>241</v>
      </c>
      <c r="B154" t="str">
        <f>HYPERLINK("https://www.onsemi.com/PowerSolutions/product.do?id=LV8734V","LV8734V")</f>
        <v>LV8734V</v>
      </c>
      <c r="C154" t="str">
        <f>HYPERLINK("https://www.onsemi.com/pub/Collateral/LV8734V-D.PDF","LV8734V/D (433.0kB)")</f>
        <v>LV8734V/D (433.0kB)</v>
      </c>
      <c r="D154" t="s">
        <v>317</v>
      </c>
      <c r="E154" s="2" t="s">
        <v>27</v>
      </c>
      <c r="F154" t="s">
        <v>28</v>
      </c>
      <c r="I154" s="2" t="s">
        <v>30</v>
      </c>
      <c r="J154" s="2" t="s">
        <v>314</v>
      </c>
      <c r="K154" s="2" t="s">
        <v>30</v>
      </c>
      <c r="L154" s="2" t="s">
        <v>314</v>
      </c>
      <c r="M154" s="2"/>
      <c r="N154" s="2" t="s">
        <v>125</v>
      </c>
      <c r="O154" s="2" t="s">
        <v>323</v>
      </c>
      <c r="P154" s="2" t="s">
        <v>33</v>
      </c>
      <c r="Q154" s="2" t="s">
        <v>147</v>
      </c>
      <c r="R154" s="2" t="s">
        <v>41</v>
      </c>
      <c r="S154" s="2" t="s">
        <v>248</v>
      </c>
      <c r="T154" s="2"/>
      <c r="U154" s="2"/>
      <c r="V154" s="2"/>
      <c r="W154" s="2"/>
      <c r="X154" s="2"/>
      <c r="Y154" s="2" t="s">
        <v>206</v>
      </c>
    </row>
    <row r="155" spans="1:25" ht="25.5" x14ac:dyDescent="0.2">
      <c r="A155" s="5" t="s">
        <v>241</v>
      </c>
      <c r="B155" t="str">
        <f>HYPERLINK("https://www.onsemi.com/PowerSolutions/product.do?id=LV8735V","LV8735V")</f>
        <v>LV8735V</v>
      </c>
      <c r="C155" t="str">
        <f>HYPERLINK("https://www.onsemi.com/pub/Collateral/LV8735V-D.PDF","LV8735V/D (443.0kB)")</f>
        <v>LV8735V/D (443.0kB)</v>
      </c>
      <c r="D155" t="s">
        <v>317</v>
      </c>
      <c r="E155" s="2" t="s">
        <v>27</v>
      </c>
      <c r="F155" t="s">
        <v>28</v>
      </c>
      <c r="I155" s="2" t="s">
        <v>30</v>
      </c>
      <c r="J155" s="2" t="s">
        <v>314</v>
      </c>
      <c r="K155" s="2" t="s">
        <v>30</v>
      </c>
      <c r="L155" s="2" t="s">
        <v>314</v>
      </c>
      <c r="M155" s="2"/>
      <c r="N155" s="2" t="s">
        <v>33</v>
      </c>
      <c r="O155" s="2" t="s">
        <v>125</v>
      </c>
      <c r="P155" s="2" t="s">
        <v>255</v>
      </c>
      <c r="Q155" s="2" t="s">
        <v>147</v>
      </c>
      <c r="R155" s="2" t="s">
        <v>41</v>
      </c>
      <c r="S155" s="2" t="s">
        <v>260</v>
      </c>
      <c r="T155" s="2"/>
      <c r="U155" s="2"/>
      <c r="V155" s="2"/>
      <c r="W155" s="2"/>
      <c r="X155" s="2"/>
      <c r="Y155" s="2" t="s">
        <v>206</v>
      </c>
    </row>
    <row r="156" spans="1:25" ht="25.5" x14ac:dyDescent="0.2">
      <c r="A156" s="5" t="s">
        <v>241</v>
      </c>
      <c r="B156" t="str">
        <f>HYPERLINK("https://www.onsemi.com/PowerSolutions/product.do?id=LV8736V","LV8736V")</f>
        <v>LV8736V</v>
      </c>
      <c r="C156" t="str">
        <f>HYPERLINK("https://www.onsemi.com/pub/Collateral/LV8736V-D.PDF","LV8736V/D (363.0kB)")</f>
        <v>LV8736V/D (363.0kB)</v>
      </c>
      <c r="D156" t="s">
        <v>317</v>
      </c>
      <c r="E156" s="2" t="s">
        <v>27</v>
      </c>
      <c r="F156" t="s">
        <v>28</v>
      </c>
      <c r="I156" s="2" t="s">
        <v>30</v>
      </c>
      <c r="J156" s="2" t="s">
        <v>314</v>
      </c>
      <c r="K156" s="2" t="s">
        <v>30</v>
      </c>
      <c r="L156" s="2" t="s">
        <v>314</v>
      </c>
      <c r="M156" s="2"/>
      <c r="N156" s="2" t="s">
        <v>33</v>
      </c>
      <c r="O156" s="2" t="s">
        <v>125</v>
      </c>
      <c r="P156" s="2" t="s">
        <v>33</v>
      </c>
      <c r="Q156" s="2" t="s">
        <v>34</v>
      </c>
      <c r="R156" s="2" t="s">
        <v>41</v>
      </c>
      <c r="S156" s="2" t="s">
        <v>320</v>
      </c>
      <c r="T156" s="2"/>
      <c r="U156" s="2"/>
      <c r="V156" s="2"/>
      <c r="W156" s="2"/>
      <c r="X156" s="2"/>
      <c r="Y156" s="2" t="s">
        <v>206</v>
      </c>
    </row>
    <row r="157" spans="1:25" x14ac:dyDescent="0.2">
      <c r="A157" s="5" t="s">
        <v>241</v>
      </c>
      <c r="B157" t="str">
        <f>HYPERLINK("https://www.onsemi.com/PowerSolutions/product.do?id=LV8740V","LV8740V")</f>
        <v>LV8740V</v>
      </c>
      <c r="C157" t="str">
        <f>HYPERLINK("https://www.onsemi.com/pub/Collateral/LV8740V-D.PDF","LV8740V/D (662.0kB)")</f>
        <v>LV8740V/D (662.0kB)</v>
      </c>
      <c r="D157" t="s">
        <v>317</v>
      </c>
      <c r="E157" s="2" t="s">
        <v>40</v>
      </c>
      <c r="F157" t="s">
        <v>28</v>
      </c>
      <c r="I157" s="2" t="s">
        <v>30</v>
      </c>
      <c r="J157" s="2" t="s">
        <v>54</v>
      </c>
      <c r="K157" s="2" t="s">
        <v>30</v>
      </c>
      <c r="L157" s="2" t="s">
        <v>54</v>
      </c>
      <c r="M157" s="2"/>
      <c r="N157" s="2" t="s">
        <v>31</v>
      </c>
      <c r="O157" s="2" t="s">
        <v>37</v>
      </c>
      <c r="P157" s="2" t="s">
        <v>33</v>
      </c>
      <c r="Q157" s="2" t="s">
        <v>147</v>
      </c>
      <c r="R157" s="2" t="s">
        <v>41</v>
      </c>
      <c r="S157" s="2" t="s">
        <v>248</v>
      </c>
      <c r="T157" s="2"/>
      <c r="U157" s="2"/>
      <c r="V157" s="2"/>
      <c r="W157" s="2"/>
      <c r="X157" s="2"/>
      <c r="Y157" s="2" t="s">
        <v>316</v>
      </c>
    </row>
    <row r="158" spans="1:25" x14ac:dyDescent="0.2">
      <c r="A158" s="5" t="s">
        <v>241</v>
      </c>
      <c r="B158" t="str">
        <f>HYPERLINK("https://www.onsemi.com/PowerSolutions/product.do?id=LV8741V","LV8741V")</f>
        <v>LV8741V</v>
      </c>
      <c r="C158" t="str">
        <f>HYPERLINK("https://www.onsemi.com/pub/Collateral/LV8741V-D.PDF","LV8741V/D (728kB)")</f>
        <v>LV8741V/D (728kB)</v>
      </c>
      <c r="D158" t="s">
        <v>333</v>
      </c>
      <c r="E158" s="2" t="s">
        <v>40</v>
      </c>
      <c r="F158" t="s">
        <v>28</v>
      </c>
      <c r="I158" s="2" t="s">
        <v>142</v>
      </c>
      <c r="J158" s="2" t="s">
        <v>54</v>
      </c>
      <c r="K158" s="2" t="s">
        <v>50</v>
      </c>
      <c r="L158" s="2" t="s">
        <v>17</v>
      </c>
      <c r="M158" s="2"/>
      <c r="N158" s="2" t="s">
        <v>125</v>
      </c>
      <c r="O158" s="2" t="s">
        <v>323</v>
      </c>
      <c r="P158" s="2" t="s">
        <v>265</v>
      </c>
      <c r="Q158" s="2" t="s">
        <v>147</v>
      </c>
      <c r="R158" s="2" t="s">
        <v>41</v>
      </c>
      <c r="S158" s="2" t="s">
        <v>248</v>
      </c>
      <c r="T158" s="2"/>
      <c r="U158" s="2"/>
      <c r="V158" s="2"/>
      <c r="W158" s="2"/>
      <c r="X158" s="2"/>
      <c r="Y158" s="2" t="s">
        <v>206</v>
      </c>
    </row>
    <row r="159" spans="1:25" x14ac:dyDescent="0.2">
      <c r="A159" s="5" t="s">
        <v>241</v>
      </c>
      <c r="B159" t="str">
        <f>HYPERLINK("https://www.onsemi.com/PowerSolutions/product.do?id=LV8746V","LV8746V")</f>
        <v>LV8746V</v>
      </c>
      <c r="C159" t="str">
        <f>HYPERLINK("https://www.onsemi.com/pub/Collateral/LV8746V-D.PDF","LV8746V/D (632.0kB)")</f>
        <v>LV8746V/D (632.0kB)</v>
      </c>
      <c r="D159" t="s">
        <v>334</v>
      </c>
      <c r="E159" s="2" t="s">
        <v>40</v>
      </c>
      <c r="F159" t="s">
        <v>28</v>
      </c>
      <c r="I159" s="2" t="s">
        <v>30</v>
      </c>
      <c r="J159" s="2" t="s">
        <v>54</v>
      </c>
      <c r="K159" s="2" t="s">
        <v>30</v>
      </c>
      <c r="L159" s="2" t="s">
        <v>54</v>
      </c>
      <c r="M159" s="2"/>
      <c r="N159" s="2" t="s">
        <v>33</v>
      </c>
      <c r="O159" s="2" t="s">
        <v>62</v>
      </c>
      <c r="P159" s="2" t="s">
        <v>319</v>
      </c>
      <c r="Q159" s="2" t="s">
        <v>34</v>
      </c>
      <c r="R159" s="2" t="s">
        <v>41</v>
      </c>
      <c r="S159" s="2" t="s">
        <v>244</v>
      </c>
      <c r="T159" s="2"/>
      <c r="U159" s="2"/>
      <c r="V159" s="2"/>
      <c r="W159" s="2"/>
      <c r="X159" s="2"/>
      <c r="Y159" s="2" t="s">
        <v>206</v>
      </c>
    </row>
    <row r="160" spans="1:25" ht="25.5" x14ac:dyDescent="0.2">
      <c r="A160" s="5" t="s">
        <v>241</v>
      </c>
      <c r="B160" t="str">
        <f>HYPERLINK("https://www.onsemi.com/PowerSolutions/product.do?id=LV8747TA","LV8747TA")</f>
        <v>LV8747TA</v>
      </c>
      <c r="C160" t="str">
        <f>HYPERLINK("https://www.onsemi.com/pub/Collateral/ENA2019-D.PDF","ENA2019/D (296.0kB)")</f>
        <v>ENA2019/D (296.0kB)</v>
      </c>
      <c r="D160" t="s">
        <v>335</v>
      </c>
      <c r="E160" s="2" t="s">
        <v>27</v>
      </c>
      <c r="F160" t="s">
        <v>28</v>
      </c>
      <c r="I160" s="2" t="s">
        <v>46</v>
      </c>
      <c r="J160" s="2" t="s">
        <v>54</v>
      </c>
      <c r="K160" s="2" t="s">
        <v>46</v>
      </c>
      <c r="L160" s="2" t="s">
        <v>54</v>
      </c>
      <c r="M160" s="2"/>
      <c r="N160" s="2" t="s">
        <v>125</v>
      </c>
      <c r="O160" s="2" t="s">
        <v>323</v>
      </c>
      <c r="P160" s="2" t="s">
        <v>33</v>
      </c>
      <c r="Q160" s="2" t="s">
        <v>34</v>
      </c>
      <c r="R160" s="2" t="s">
        <v>41</v>
      </c>
      <c r="S160" s="2" t="s">
        <v>248</v>
      </c>
      <c r="T160" s="2"/>
      <c r="U160" s="2"/>
      <c r="V160" s="2"/>
      <c r="W160" s="2"/>
      <c r="X160" s="2"/>
      <c r="Y160" s="2" t="s">
        <v>336</v>
      </c>
    </row>
    <row r="161" spans="1:25" ht="51" x14ac:dyDescent="0.2">
      <c r="A161" s="5" t="s">
        <v>241</v>
      </c>
      <c r="B161" t="str">
        <f>HYPERLINK("https://www.onsemi.com/PowerSolutions/product.do?id=NCV70514","NCV70514")</f>
        <v>NCV70514</v>
      </c>
      <c r="C161" t="str">
        <f>HYPERLINK("https://www.onsemi.com/pub/Collateral/NCV70514-D.PDF","NCV70514/D (375kB)")</f>
        <v>NCV70514/D (375kB)</v>
      </c>
      <c r="D161" t="s">
        <v>337</v>
      </c>
      <c r="E161" s="2" t="s">
        <v>15</v>
      </c>
      <c r="F161" t="s">
        <v>28</v>
      </c>
      <c r="I161" s="2" t="s">
        <v>57</v>
      </c>
      <c r="J161" s="2" t="s">
        <v>338</v>
      </c>
      <c r="K161" s="2" t="s">
        <v>57</v>
      </c>
      <c r="L161" s="2" t="s">
        <v>338</v>
      </c>
      <c r="M161" s="2"/>
      <c r="N161" s="2" t="s">
        <v>26</v>
      </c>
      <c r="O161" s="2" t="s">
        <v>339</v>
      </c>
      <c r="P161" s="2" t="s">
        <v>247</v>
      </c>
      <c r="Q161" s="2" t="s">
        <v>22</v>
      </c>
      <c r="R161" s="2" t="s">
        <v>71</v>
      </c>
      <c r="S161" s="2" t="s">
        <v>340</v>
      </c>
      <c r="T161" s="2"/>
      <c r="U161" s="2"/>
      <c r="V161" s="2"/>
      <c r="W161" s="2"/>
      <c r="X161" s="2"/>
      <c r="Y161" s="2" t="s">
        <v>253</v>
      </c>
    </row>
    <row r="162" spans="1:25" ht="51" x14ac:dyDescent="0.2">
      <c r="A162" s="5" t="s">
        <v>241</v>
      </c>
      <c r="B162" t="str">
        <f>HYPERLINK("https://www.onsemi.com/PowerSolutions/product.do?id=NCV70516","NCV70516")</f>
        <v>NCV70516</v>
      </c>
      <c r="C162" t="str">
        <f>HYPERLINK("https://www.onsemi.com/pub/Collateral/NCV70516-D.PDF","NCV70516/D (330kB)")</f>
        <v>NCV70516/D (330kB)</v>
      </c>
      <c r="D162" t="s">
        <v>337</v>
      </c>
      <c r="E162" s="2" t="s">
        <v>15</v>
      </c>
      <c r="F162" t="s">
        <v>28</v>
      </c>
      <c r="I162" s="2" t="s">
        <v>57</v>
      </c>
      <c r="J162" s="2" t="s">
        <v>338</v>
      </c>
      <c r="K162" s="2" t="s">
        <v>57</v>
      </c>
      <c r="L162" s="2" t="s">
        <v>338</v>
      </c>
      <c r="M162" s="2"/>
      <c r="N162" s="2" t="s">
        <v>26</v>
      </c>
      <c r="O162" s="2" t="s">
        <v>20</v>
      </c>
      <c r="P162" s="2" t="s">
        <v>255</v>
      </c>
      <c r="Q162" s="2" t="s">
        <v>22</v>
      </c>
      <c r="R162" s="2" t="s">
        <v>71</v>
      </c>
      <c r="S162" s="2" t="s">
        <v>340</v>
      </c>
      <c r="T162" s="2"/>
      <c r="U162" s="2"/>
      <c r="V162" s="2"/>
      <c r="W162" s="2"/>
      <c r="X162" s="2"/>
      <c r="Y162" s="2" t="s">
        <v>341</v>
      </c>
    </row>
    <row r="163" spans="1:25" ht="51" x14ac:dyDescent="0.2">
      <c r="A163" s="5" t="s">
        <v>241</v>
      </c>
      <c r="B163" t="str">
        <f>HYPERLINK("https://www.onsemi.com/PowerSolutions/product.do?id=NCV70517","NCV70517")</f>
        <v>NCV70517</v>
      </c>
      <c r="C163" t="str">
        <f>HYPERLINK("https://www.onsemi.com/pub/Collateral/NCV70517-D.PDF","NCV70517/D (281kB)")</f>
        <v>NCV70517/D (281kB)</v>
      </c>
      <c r="D163" t="s">
        <v>337</v>
      </c>
      <c r="E163" s="2" t="s">
        <v>15</v>
      </c>
      <c r="F163" t="s">
        <v>28</v>
      </c>
      <c r="I163" s="2" t="s">
        <v>57</v>
      </c>
      <c r="J163" s="2" t="s">
        <v>338</v>
      </c>
      <c r="K163" s="2" t="s">
        <v>57</v>
      </c>
      <c r="L163" s="2" t="s">
        <v>338</v>
      </c>
      <c r="M163" s="2"/>
      <c r="N163" s="2" t="s">
        <v>26</v>
      </c>
      <c r="O163" s="2" t="s">
        <v>20</v>
      </c>
      <c r="P163" s="2" t="s">
        <v>255</v>
      </c>
      <c r="Q163" s="2" t="s">
        <v>22</v>
      </c>
      <c r="R163" s="2" t="s">
        <v>71</v>
      </c>
      <c r="S163" s="2" t="s">
        <v>340</v>
      </c>
      <c r="T163" s="2"/>
      <c r="U163" s="2"/>
      <c r="V163" s="2"/>
      <c r="W163" s="2"/>
      <c r="X163" s="2"/>
      <c r="Y163" s="2" t="s">
        <v>342</v>
      </c>
    </row>
    <row r="164" spans="1:25" ht="51" x14ac:dyDescent="0.2">
      <c r="A164" s="5" t="s">
        <v>241</v>
      </c>
      <c r="B164" t="str">
        <f>HYPERLINK("https://www.onsemi.com/PowerSolutions/product.do?id=NCV70627","NCV70627")</f>
        <v>NCV70627</v>
      </c>
      <c r="C164" t="str">
        <f>HYPERLINK("https://www.onsemi.com/pub/Collateral/NCV70627-D.PDF","NCV70627/D (553kB)")</f>
        <v>NCV70627/D (553kB)</v>
      </c>
      <c r="D164" t="s">
        <v>343</v>
      </c>
      <c r="E164" s="2" t="s">
        <v>15</v>
      </c>
      <c r="F164" t="s">
        <v>28</v>
      </c>
      <c r="I164" s="2" t="s">
        <v>17</v>
      </c>
      <c r="J164" s="2" t="s">
        <v>338</v>
      </c>
      <c r="K164" s="2" t="s">
        <v>17</v>
      </c>
      <c r="L164" s="2" t="s">
        <v>338</v>
      </c>
      <c r="M164" s="2"/>
      <c r="N164" s="2" t="s">
        <v>26</v>
      </c>
      <c r="O164" s="2" t="s">
        <v>20</v>
      </c>
      <c r="P164" s="2" t="s">
        <v>255</v>
      </c>
      <c r="Q164" s="2" t="s">
        <v>256</v>
      </c>
      <c r="R164" s="2" t="s">
        <v>71</v>
      </c>
      <c r="S164" s="2" t="s">
        <v>344</v>
      </c>
      <c r="T164" s="2"/>
      <c r="U164" s="2"/>
      <c r="V164" s="2"/>
      <c r="W164" s="2"/>
      <c r="X164" s="2"/>
      <c r="Y164" s="2" t="s">
        <v>345</v>
      </c>
    </row>
    <row r="165" spans="1:25" ht="51" x14ac:dyDescent="0.2">
      <c r="A165" s="5" t="s">
        <v>241</v>
      </c>
      <c r="B165" t="str">
        <f>HYPERLINK("https://www.onsemi.com/PowerSolutions/product.do?id=NCV70628","NCV70628")</f>
        <v>NCV70628</v>
      </c>
      <c r="C165" t="str">
        <f>HYPERLINK("https://www.onsemi.com/pub/Collateral/NCV70628-D.PDF","NCV70628/D (508kB)")</f>
        <v>NCV70628/D (508kB)</v>
      </c>
      <c r="D165" t="s">
        <v>346</v>
      </c>
      <c r="E165" s="2" t="s">
        <v>15</v>
      </c>
      <c r="F165" t="s">
        <v>28</v>
      </c>
      <c r="I165" s="2" t="s">
        <v>17</v>
      </c>
      <c r="J165" s="2" t="s">
        <v>338</v>
      </c>
      <c r="K165" s="2" t="s">
        <v>17</v>
      </c>
      <c r="L165" s="2" t="s">
        <v>338</v>
      </c>
      <c r="M165" s="2"/>
      <c r="N165" s="2" t="s">
        <v>26</v>
      </c>
      <c r="O165" s="2" t="s">
        <v>20</v>
      </c>
      <c r="P165" s="2" t="s">
        <v>255</v>
      </c>
      <c r="Q165" s="2" t="s">
        <v>256</v>
      </c>
      <c r="R165" s="2" t="s">
        <v>71</v>
      </c>
      <c r="S165" s="2" t="s">
        <v>344</v>
      </c>
      <c r="T165" s="2"/>
      <c r="U165" s="2"/>
      <c r="V165" s="2"/>
      <c r="W165" s="2"/>
      <c r="X165" s="2"/>
      <c r="Y165" s="2" t="s">
        <v>342</v>
      </c>
    </row>
    <row r="166" spans="1:25" x14ac:dyDescent="0.2">
      <c r="A166" s="5" t="s">
        <v>241</v>
      </c>
      <c r="B166" t="str">
        <f>HYPERLINK("https://www.onsemi.com/PowerSolutions/product.do?id=STK672-430AN-E","STK672-430AN-E")</f>
        <v>STK672-430AN-E</v>
      </c>
      <c r="C166" t="str">
        <f>HYPERLINK("https://www.onsemi.com/pub/Collateral/ENA2270-D.PDF","ENA2270/D (841kB)")</f>
        <v>ENA2270/D (841kB)</v>
      </c>
      <c r="D166" t="s">
        <v>347</v>
      </c>
      <c r="E166" s="2" t="s">
        <v>40</v>
      </c>
      <c r="F166" t="s">
        <v>28</v>
      </c>
      <c r="I166" s="2" t="s">
        <v>46</v>
      </c>
      <c r="J166" s="2" t="s">
        <v>73</v>
      </c>
      <c r="K166" s="2" t="s">
        <v>74</v>
      </c>
      <c r="L166" s="2" t="s">
        <v>63</v>
      </c>
      <c r="M166" s="2"/>
      <c r="N166" s="2" t="s">
        <v>31</v>
      </c>
      <c r="O166" s="2" t="s">
        <v>46</v>
      </c>
      <c r="P166" s="2" t="s">
        <v>255</v>
      </c>
      <c r="Q166" s="2" t="s">
        <v>147</v>
      </c>
      <c r="R166" s="2" t="s">
        <v>71</v>
      </c>
      <c r="S166" s="2" t="s">
        <v>248</v>
      </c>
      <c r="T166" s="2"/>
      <c r="U166" s="2"/>
      <c r="V166" s="2"/>
      <c r="W166" s="2"/>
      <c r="X166" s="2"/>
      <c r="Y166" s="2" t="s">
        <v>78</v>
      </c>
    </row>
    <row r="167" spans="1:25" x14ac:dyDescent="0.2">
      <c r="A167" s="5" t="s">
        <v>241</v>
      </c>
      <c r="B167" t="str">
        <f>HYPERLINK("https://www.onsemi.com/PowerSolutions/product.do?id=STK672-432AN-E","STK672-432AN-E")</f>
        <v>STK672-432AN-E</v>
      </c>
      <c r="C167" t="str">
        <f>HYPERLINK("https://www.onsemi.com/pub/Collateral/ENA2295-D.PDF","ENA2295/D (867kB)")</f>
        <v>ENA2295/D (867kB)</v>
      </c>
      <c r="D167" t="s">
        <v>348</v>
      </c>
      <c r="E167" s="2" t="s">
        <v>40</v>
      </c>
      <c r="F167" t="s">
        <v>28</v>
      </c>
      <c r="I167" s="2" t="s">
        <v>46</v>
      </c>
      <c r="J167" s="2" t="s">
        <v>73</v>
      </c>
      <c r="K167" s="2" t="s">
        <v>74</v>
      </c>
      <c r="L167" s="2" t="s">
        <v>63</v>
      </c>
      <c r="M167" s="2"/>
      <c r="N167" s="2" t="s">
        <v>31</v>
      </c>
      <c r="O167" s="2" t="s">
        <v>46</v>
      </c>
      <c r="P167" s="2" t="s">
        <v>255</v>
      </c>
      <c r="Q167" s="2" t="s">
        <v>147</v>
      </c>
      <c r="R167" s="2" t="s">
        <v>71</v>
      </c>
      <c r="S167" s="2" t="s">
        <v>244</v>
      </c>
      <c r="T167" s="2"/>
      <c r="U167" s="2"/>
      <c r="V167" s="2"/>
      <c r="W167" s="2"/>
      <c r="X167" s="2"/>
      <c r="Y167" s="2" t="s">
        <v>78</v>
      </c>
    </row>
    <row r="168" spans="1:25" x14ac:dyDescent="0.2">
      <c r="A168" s="5" t="s">
        <v>241</v>
      </c>
      <c r="B168" t="str">
        <f>HYPERLINK("https://www.onsemi.com/PowerSolutions/product.do?id=STK672-432BN-E","STK672-432BN-E")</f>
        <v>STK672-432BN-E</v>
      </c>
      <c r="C168" t="str">
        <f>HYPERLINK("https://www.onsemi.com/pub/Collateral/ENA2307-D.PDF","ENA2307/D (910kB)")</f>
        <v>ENA2307/D (910kB)</v>
      </c>
      <c r="D168" t="s">
        <v>349</v>
      </c>
      <c r="E168" s="2" t="s">
        <v>40</v>
      </c>
      <c r="F168" t="s">
        <v>28</v>
      </c>
      <c r="I168" s="2" t="s">
        <v>46</v>
      </c>
      <c r="J168" s="2" t="s">
        <v>73</v>
      </c>
      <c r="K168" s="2" t="s">
        <v>74</v>
      </c>
      <c r="L168" s="2" t="s">
        <v>63</v>
      </c>
      <c r="M168" s="2"/>
      <c r="N168" s="2" t="s">
        <v>31</v>
      </c>
      <c r="O168" s="2" t="s">
        <v>46</v>
      </c>
      <c r="P168" s="2" t="s">
        <v>255</v>
      </c>
      <c r="Q168" s="2" t="s">
        <v>147</v>
      </c>
      <c r="R168" s="2" t="s">
        <v>71</v>
      </c>
      <c r="S168" s="2" t="s">
        <v>244</v>
      </c>
      <c r="T168" s="2"/>
      <c r="U168" s="2"/>
      <c r="V168" s="2"/>
      <c r="W168" s="2"/>
      <c r="X168" s="2"/>
      <c r="Y168" s="2" t="s">
        <v>78</v>
      </c>
    </row>
    <row r="169" spans="1:25" x14ac:dyDescent="0.2">
      <c r="A169" s="5" t="s">
        <v>241</v>
      </c>
      <c r="B169" t="str">
        <f>HYPERLINK("https://www.onsemi.com/PowerSolutions/product.do?id=STK672-440AN-E","STK672-440AN-E")</f>
        <v>STK672-440AN-E</v>
      </c>
      <c r="C169" t="str">
        <f>HYPERLINK("https://www.onsemi.com/pub/Collateral/ENA2272-D.PDF","ENA2272/D (841kB)")</f>
        <v>ENA2272/D (841kB)</v>
      </c>
      <c r="D169" t="s">
        <v>347</v>
      </c>
      <c r="E169" s="2" t="s">
        <v>40</v>
      </c>
      <c r="F169" t="s">
        <v>28</v>
      </c>
      <c r="I169" s="2" t="s">
        <v>46</v>
      </c>
      <c r="J169" s="2" t="s">
        <v>73</v>
      </c>
      <c r="K169" s="2" t="s">
        <v>74</v>
      </c>
      <c r="L169" s="2" t="s">
        <v>63</v>
      </c>
      <c r="M169" s="2"/>
      <c r="N169" s="2" t="s">
        <v>155</v>
      </c>
      <c r="O169" s="2" t="s">
        <v>95</v>
      </c>
      <c r="P169" s="2" t="s">
        <v>255</v>
      </c>
      <c r="Q169" s="2" t="s">
        <v>147</v>
      </c>
      <c r="R169" s="2" t="s">
        <v>71</v>
      </c>
      <c r="S169" s="2" t="s">
        <v>248</v>
      </c>
      <c r="T169" s="2"/>
      <c r="U169" s="2"/>
      <c r="V169" s="2"/>
      <c r="W169" s="2"/>
      <c r="X169" s="2"/>
      <c r="Y169" s="2" t="s">
        <v>78</v>
      </c>
    </row>
    <row r="170" spans="1:25" x14ac:dyDescent="0.2">
      <c r="A170" s="5" t="s">
        <v>241</v>
      </c>
      <c r="B170" t="str">
        <f>HYPERLINK("https://www.onsemi.com/PowerSolutions/product.do?id=STK672-440BN-E","STK672-440BN-E")</f>
        <v>STK672-440BN-E</v>
      </c>
      <c r="C170" t="str">
        <f>HYPERLINK("https://www.onsemi.com/pub/Collateral/ENA2248-D.PDF","ENA2248/D (854kB)")</f>
        <v>ENA2248/D (854kB)</v>
      </c>
      <c r="D170" t="s">
        <v>350</v>
      </c>
      <c r="E170" s="2" t="s">
        <v>40</v>
      </c>
      <c r="F170" t="s">
        <v>28</v>
      </c>
      <c r="I170" s="2" t="s">
        <v>46</v>
      </c>
      <c r="J170" s="2" t="s">
        <v>351</v>
      </c>
      <c r="K170" s="2" t="s">
        <v>74</v>
      </c>
      <c r="L170" s="2" t="s">
        <v>63</v>
      </c>
      <c r="M170" s="2"/>
      <c r="N170" s="2" t="s">
        <v>155</v>
      </c>
      <c r="O170" s="2" t="s">
        <v>95</v>
      </c>
      <c r="P170" s="2" t="s">
        <v>255</v>
      </c>
      <c r="Q170" s="2" t="s">
        <v>147</v>
      </c>
      <c r="R170" s="2" t="s">
        <v>71</v>
      </c>
      <c r="S170" s="2" t="s">
        <v>248</v>
      </c>
      <c r="T170" s="2"/>
      <c r="U170" s="2"/>
      <c r="V170" s="2"/>
      <c r="W170" s="2"/>
      <c r="X170" s="2"/>
      <c r="Y170" s="2" t="s">
        <v>78</v>
      </c>
    </row>
    <row r="171" spans="1:25" x14ac:dyDescent="0.2">
      <c r="A171" s="5" t="s">
        <v>241</v>
      </c>
      <c r="B171" t="str">
        <f>HYPERLINK("https://www.onsemi.com/PowerSolutions/product.do?id=STK672-442AN-E","STK672-442AN-E")</f>
        <v>STK672-442AN-E</v>
      </c>
      <c r="C171" t="str">
        <f>HYPERLINK("https://www.onsemi.com/pub/Collateral/ENA2274-D.PDF","ENA2274/D (867kB)")</f>
        <v>ENA2274/D (867kB)</v>
      </c>
      <c r="D171" t="s">
        <v>347</v>
      </c>
      <c r="E171" s="2" t="s">
        <v>40</v>
      </c>
      <c r="F171" t="s">
        <v>28</v>
      </c>
      <c r="I171" s="2" t="s">
        <v>95</v>
      </c>
      <c r="J171" s="2" t="s">
        <v>73</v>
      </c>
      <c r="K171" s="2" t="s">
        <v>74</v>
      </c>
      <c r="L171" s="2" t="s">
        <v>63</v>
      </c>
      <c r="M171" s="2"/>
      <c r="N171" s="2" t="s">
        <v>155</v>
      </c>
      <c r="O171" s="2" t="s">
        <v>95</v>
      </c>
      <c r="P171" s="2" t="s">
        <v>255</v>
      </c>
      <c r="Q171" s="2" t="s">
        <v>147</v>
      </c>
      <c r="R171" s="2" t="s">
        <v>71</v>
      </c>
      <c r="S171" s="2" t="s">
        <v>244</v>
      </c>
      <c r="T171" s="2"/>
      <c r="U171" s="2"/>
      <c r="V171" s="2"/>
      <c r="W171" s="2"/>
      <c r="X171" s="2"/>
      <c r="Y171" s="2" t="s">
        <v>78</v>
      </c>
    </row>
    <row r="172" spans="1:25" x14ac:dyDescent="0.2">
      <c r="A172" s="5" t="s">
        <v>241</v>
      </c>
      <c r="B172" t="str">
        <f>HYPERLINK("https://www.onsemi.com/PowerSolutions/product.do?id=STK672-442BN-E","STK672-442BN-E")</f>
        <v>STK672-442BN-E</v>
      </c>
      <c r="C172" t="str">
        <f>HYPERLINK("https://www.onsemi.com/pub/Collateral/ENA2249-D.PDF","ENA2249/D (910kB)")</f>
        <v>ENA2249/D (910kB)</v>
      </c>
      <c r="D172" t="s">
        <v>347</v>
      </c>
      <c r="E172" s="2" t="s">
        <v>40</v>
      </c>
      <c r="F172" t="s">
        <v>28</v>
      </c>
      <c r="I172" s="2" t="s">
        <v>46</v>
      </c>
      <c r="J172" s="2" t="s">
        <v>351</v>
      </c>
      <c r="K172" s="2" t="s">
        <v>74</v>
      </c>
      <c r="L172" s="2" t="s">
        <v>63</v>
      </c>
      <c r="M172" s="2"/>
      <c r="N172" s="2" t="s">
        <v>155</v>
      </c>
      <c r="O172" s="2" t="s">
        <v>95</v>
      </c>
      <c r="P172" s="2" t="s">
        <v>255</v>
      </c>
      <c r="Q172" s="2" t="s">
        <v>147</v>
      </c>
      <c r="R172" s="2" t="s">
        <v>71</v>
      </c>
      <c r="S172" s="2" t="s">
        <v>248</v>
      </c>
      <c r="T172" s="2"/>
      <c r="U172" s="2"/>
      <c r="V172" s="2"/>
      <c r="W172" s="2"/>
      <c r="X172" s="2"/>
      <c r="Y172" s="2" t="s">
        <v>78</v>
      </c>
    </row>
    <row r="173" spans="1:25" x14ac:dyDescent="0.2">
      <c r="A173" s="5" t="s">
        <v>241</v>
      </c>
      <c r="B173" t="str">
        <f>HYPERLINK("https://www.onsemi.com/PowerSolutions/product.do?id=STK672-630AN-E","STK672-630AN-E")</f>
        <v>STK672-630AN-E</v>
      </c>
      <c r="C173" t="str">
        <f>HYPERLINK("https://www.onsemi.com/pub/Collateral/ENA2296-D.PDF","ENA2296/D (457kB)")</f>
        <v>ENA2296/D (457kB)</v>
      </c>
      <c r="D173" t="s">
        <v>352</v>
      </c>
      <c r="E173" s="2" t="s">
        <v>40</v>
      </c>
      <c r="F173" t="s">
        <v>28</v>
      </c>
      <c r="I173" s="2" t="s">
        <v>46</v>
      </c>
      <c r="J173" s="2" t="s">
        <v>73</v>
      </c>
      <c r="K173" s="2" t="s">
        <v>74</v>
      </c>
      <c r="L173" s="2" t="s">
        <v>63</v>
      </c>
      <c r="M173" s="2"/>
      <c r="N173" s="2" t="s">
        <v>353</v>
      </c>
      <c r="O173" s="2" t="s">
        <v>46</v>
      </c>
      <c r="P173" s="2" t="s">
        <v>326</v>
      </c>
      <c r="Q173" s="2" t="s">
        <v>147</v>
      </c>
      <c r="R173" s="2" t="s">
        <v>71</v>
      </c>
      <c r="S173" s="2" t="s">
        <v>244</v>
      </c>
      <c r="T173" s="2"/>
      <c r="U173" s="2"/>
      <c r="V173" s="2"/>
      <c r="W173" s="2"/>
      <c r="X173" s="2"/>
      <c r="Y173" s="2" t="s">
        <v>78</v>
      </c>
    </row>
    <row r="174" spans="1:25" x14ac:dyDescent="0.2">
      <c r="A174" s="5" t="s">
        <v>241</v>
      </c>
      <c r="B174" t="str">
        <f>HYPERLINK("https://www.onsemi.com/PowerSolutions/product.do?id=STK672-630CN-E","STK672-630CN-E")</f>
        <v>STK672-630CN-E</v>
      </c>
      <c r="C174" t="str">
        <f>HYPERLINK("https://www.onsemi.com/pub/Collateral/ENA2316-D.PDF","ENA2316/D (479kB)")</f>
        <v>ENA2316/D (479kB)</v>
      </c>
      <c r="D174" t="s">
        <v>352</v>
      </c>
      <c r="E174" s="2" t="s">
        <v>40</v>
      </c>
      <c r="F174" t="s">
        <v>28</v>
      </c>
      <c r="I174" s="2" t="s">
        <v>46</v>
      </c>
      <c r="J174" s="2" t="s">
        <v>354</v>
      </c>
      <c r="K174" s="2" t="s">
        <v>74</v>
      </c>
      <c r="L174" s="2" t="s">
        <v>63</v>
      </c>
      <c r="M174" s="2"/>
      <c r="N174" s="2" t="s">
        <v>353</v>
      </c>
      <c r="O174" s="2" t="s">
        <v>46</v>
      </c>
      <c r="P174" s="2" t="s">
        <v>326</v>
      </c>
      <c r="Q174" s="2" t="s">
        <v>147</v>
      </c>
      <c r="R174" s="2" t="s">
        <v>71</v>
      </c>
      <c r="S174" s="2" t="s">
        <v>244</v>
      </c>
      <c r="T174" s="2"/>
      <c r="U174" s="2"/>
      <c r="V174" s="2"/>
      <c r="W174" s="2"/>
      <c r="X174" s="2"/>
      <c r="Y174" s="2" t="s">
        <v>78</v>
      </c>
    </row>
    <row r="175" spans="1:25" x14ac:dyDescent="0.2">
      <c r="A175" s="5" t="s">
        <v>241</v>
      </c>
      <c r="B175" t="str">
        <f>HYPERLINK("https://www.onsemi.com/PowerSolutions/product.do?id=STK672-632AN-E","STK672-632AN-E")</f>
        <v>STK672-632AN-E</v>
      </c>
      <c r="C175" t="str">
        <f>HYPERLINK("https://www.onsemi.com/pub/Collateral/ENA2297-D.PDF","ENA2297/D (482kB)")</f>
        <v>ENA2297/D (482kB)</v>
      </c>
      <c r="D175" t="s">
        <v>352</v>
      </c>
      <c r="E175" s="2" t="s">
        <v>40</v>
      </c>
      <c r="F175" t="s">
        <v>28</v>
      </c>
      <c r="I175" s="2" t="s">
        <v>46</v>
      </c>
      <c r="J175" s="2" t="s">
        <v>73</v>
      </c>
      <c r="K175" s="2" t="s">
        <v>74</v>
      </c>
      <c r="L175" s="2" t="s">
        <v>63</v>
      </c>
      <c r="M175" s="2"/>
      <c r="N175" s="2" t="s">
        <v>353</v>
      </c>
      <c r="O175" s="2" t="s">
        <v>46</v>
      </c>
      <c r="P175" s="2" t="s">
        <v>326</v>
      </c>
      <c r="Q175" s="2" t="s">
        <v>147</v>
      </c>
      <c r="R175" s="2" t="s">
        <v>71</v>
      </c>
      <c r="S175" s="2" t="s">
        <v>248</v>
      </c>
      <c r="T175" s="2"/>
      <c r="U175" s="2"/>
      <c r="V175" s="2"/>
      <c r="W175" s="2"/>
      <c r="X175" s="2"/>
      <c r="Y175" s="2" t="s">
        <v>78</v>
      </c>
    </row>
    <row r="176" spans="1:25" x14ac:dyDescent="0.2">
      <c r="A176" s="5" t="s">
        <v>241</v>
      </c>
      <c r="B176" t="str">
        <f>HYPERLINK("https://www.onsemi.com/PowerSolutions/product.do?id=STK672-640AN-E","STK672-640AN-E")</f>
        <v>STK672-640AN-E</v>
      </c>
      <c r="C176" t="str">
        <f>HYPERLINK("https://www.onsemi.com/pub/Collateral/ENA2276-D.PDF","ENA2276/D (455kB)")</f>
        <v>ENA2276/D (455kB)</v>
      </c>
      <c r="D176" t="s">
        <v>352</v>
      </c>
      <c r="E176" s="2" t="s">
        <v>40</v>
      </c>
      <c r="F176" t="s">
        <v>28</v>
      </c>
      <c r="I176" s="2" t="s">
        <v>46</v>
      </c>
      <c r="J176" s="2" t="s">
        <v>73</v>
      </c>
      <c r="K176" s="2" t="s">
        <v>74</v>
      </c>
      <c r="L176" s="2" t="s">
        <v>63</v>
      </c>
      <c r="M176" s="2"/>
      <c r="N176" s="2" t="s">
        <v>55</v>
      </c>
      <c r="O176" s="2" t="s">
        <v>95</v>
      </c>
      <c r="P176" s="2" t="s">
        <v>326</v>
      </c>
      <c r="Q176" s="2" t="s">
        <v>147</v>
      </c>
      <c r="R176" s="2" t="s">
        <v>71</v>
      </c>
      <c r="S176" s="2" t="s">
        <v>248</v>
      </c>
      <c r="T176" s="2"/>
      <c r="U176" s="2"/>
      <c r="V176" s="2"/>
      <c r="W176" s="2"/>
      <c r="X176" s="2"/>
      <c r="Y176" s="2" t="s">
        <v>78</v>
      </c>
    </row>
    <row r="177" spans="1:25" x14ac:dyDescent="0.2">
      <c r="A177" s="5" t="s">
        <v>241</v>
      </c>
      <c r="B177" t="str">
        <f>HYPERLINK("https://www.onsemi.com/PowerSolutions/product.do?id=STK672-640CN-E","STK672-640CN-E")</f>
        <v>STK672-640CN-E</v>
      </c>
      <c r="C177" t="str">
        <f>HYPERLINK("https://www.onsemi.com/pub/Collateral/ENA2317-D.PDF","ENA2317/D (487kB)")</f>
        <v>ENA2317/D (487kB)</v>
      </c>
      <c r="D177" t="s">
        <v>352</v>
      </c>
      <c r="E177" s="2" t="s">
        <v>40</v>
      </c>
      <c r="F177" t="s">
        <v>28</v>
      </c>
      <c r="I177" s="2" t="s">
        <v>46</v>
      </c>
      <c r="J177" s="2" t="s">
        <v>354</v>
      </c>
      <c r="K177" s="2" t="s">
        <v>74</v>
      </c>
      <c r="L177" s="2" t="s">
        <v>63</v>
      </c>
      <c r="M177" s="2"/>
      <c r="N177" s="2" t="s">
        <v>55</v>
      </c>
      <c r="O177" s="2" t="s">
        <v>95</v>
      </c>
      <c r="P177" s="2" t="s">
        <v>326</v>
      </c>
      <c r="Q177" s="2" t="s">
        <v>147</v>
      </c>
      <c r="R177" s="2" t="s">
        <v>71</v>
      </c>
      <c r="S177" s="2" t="s">
        <v>340</v>
      </c>
      <c r="T177" s="2"/>
      <c r="U177" s="2"/>
      <c r="V177" s="2"/>
      <c r="W177" s="2"/>
      <c r="X177" s="2"/>
      <c r="Y177" s="2" t="s">
        <v>78</v>
      </c>
    </row>
    <row r="178" spans="1:25" x14ac:dyDescent="0.2">
      <c r="A178" s="5" t="s">
        <v>241</v>
      </c>
      <c r="B178" t="str">
        <f>HYPERLINK("https://www.onsemi.com/PowerSolutions/product.do?id=STK672-642AN-E","STK672-642AN-E")</f>
        <v>STK672-642AN-E</v>
      </c>
      <c r="C178" t="str">
        <f>HYPERLINK("https://www.onsemi.com/pub/Collateral/ENA2277-D.PDF","ENA2277/D (480kB)")</f>
        <v>ENA2277/D (480kB)</v>
      </c>
      <c r="D178" t="s">
        <v>352</v>
      </c>
      <c r="E178" s="2" t="s">
        <v>40</v>
      </c>
      <c r="F178" t="s">
        <v>28</v>
      </c>
      <c r="I178" s="2" t="s">
        <v>46</v>
      </c>
      <c r="J178" s="2" t="s">
        <v>73</v>
      </c>
      <c r="K178" s="2" t="s">
        <v>74</v>
      </c>
      <c r="L178" s="2" t="s">
        <v>63</v>
      </c>
      <c r="M178" s="2"/>
      <c r="N178" s="2" t="s">
        <v>55</v>
      </c>
      <c r="O178" s="2" t="s">
        <v>95</v>
      </c>
      <c r="P178" s="2" t="s">
        <v>326</v>
      </c>
      <c r="Q178" s="2" t="s">
        <v>147</v>
      </c>
      <c r="R178" s="2" t="s">
        <v>71</v>
      </c>
      <c r="S178" s="2" t="s">
        <v>244</v>
      </c>
      <c r="T178" s="2"/>
      <c r="U178" s="2"/>
      <c r="V178" s="2"/>
      <c r="W178" s="2"/>
      <c r="X178" s="2"/>
      <c r="Y178" s="2" t="s">
        <v>78</v>
      </c>
    </row>
    <row r="179" spans="1:25" x14ac:dyDescent="0.2">
      <c r="A179" s="5" t="s">
        <v>241</v>
      </c>
      <c r="B179" t="str">
        <f>HYPERLINK("https://www.onsemi.com/PowerSolutions/product.do?id=STK672-732AN-E","STK672-732AN-E")</f>
        <v>STK672-732AN-E</v>
      </c>
      <c r="C179" t="str">
        <f>HYPERLINK("https://www.onsemi.com/pub/Collateral/STK672-732AN-E-D.PDF","STK672-732AN-E/D (487kB)")</f>
        <v>STK672-732AN-E/D (487kB)</v>
      </c>
      <c r="D179" t="s">
        <v>355</v>
      </c>
      <c r="E179" s="2" t="s">
        <v>40</v>
      </c>
      <c r="F179" t="s">
        <v>28</v>
      </c>
      <c r="I179" s="2" t="s">
        <v>46</v>
      </c>
      <c r="J179" s="2" t="s">
        <v>73</v>
      </c>
      <c r="K179" s="2" t="s">
        <v>74</v>
      </c>
      <c r="L179" s="2" t="s">
        <v>63</v>
      </c>
      <c r="M179" s="2"/>
      <c r="N179" s="2" t="s">
        <v>353</v>
      </c>
      <c r="O179" s="2" t="s">
        <v>46</v>
      </c>
      <c r="P179" s="2" t="s">
        <v>326</v>
      </c>
      <c r="Q179" s="2" t="s">
        <v>34</v>
      </c>
      <c r="R179" s="2" t="s">
        <v>71</v>
      </c>
      <c r="S179" s="2" t="s">
        <v>244</v>
      </c>
      <c r="T179" s="2"/>
      <c r="U179" s="2"/>
      <c r="V179" s="2"/>
      <c r="W179" s="2"/>
      <c r="X179" s="2"/>
      <c r="Y179" s="2" t="s">
        <v>78</v>
      </c>
    </row>
    <row r="180" spans="1:25" x14ac:dyDescent="0.2">
      <c r="A180" s="5" t="s">
        <v>241</v>
      </c>
      <c r="B180" t="str">
        <f>HYPERLINK("https://www.onsemi.com/PowerSolutions/product.do?id=STK672-740AN-E","STK672-740AN-E")</f>
        <v>STK672-740AN-E</v>
      </c>
      <c r="C180" t="str">
        <f>HYPERLINK("https://www.onsemi.com/pub/Collateral/ENA2284-D.PDF","ENA2284/D (489kB)")</f>
        <v>ENA2284/D (489kB)</v>
      </c>
      <c r="D180" t="s">
        <v>352</v>
      </c>
      <c r="E180" s="2" t="s">
        <v>40</v>
      </c>
      <c r="F180" t="s">
        <v>28</v>
      </c>
      <c r="I180" s="2" t="s">
        <v>46</v>
      </c>
      <c r="J180" s="2" t="s">
        <v>73</v>
      </c>
      <c r="K180" s="2" t="s">
        <v>74</v>
      </c>
      <c r="L180" s="2" t="s">
        <v>63</v>
      </c>
      <c r="M180" s="2"/>
      <c r="N180" s="2" t="s">
        <v>55</v>
      </c>
      <c r="O180" s="2" t="s">
        <v>95</v>
      </c>
      <c r="P180" s="2" t="s">
        <v>326</v>
      </c>
      <c r="Q180" s="2" t="s">
        <v>34</v>
      </c>
      <c r="R180" s="2" t="s">
        <v>71</v>
      </c>
      <c r="S180" s="2" t="s">
        <v>260</v>
      </c>
      <c r="T180" s="2"/>
      <c r="U180" s="2"/>
      <c r="V180" s="2"/>
      <c r="W180" s="2"/>
      <c r="X180" s="2"/>
      <c r="Y180" s="2" t="s">
        <v>78</v>
      </c>
    </row>
    <row r="181" spans="1:25" ht="25.5" x14ac:dyDescent="0.2">
      <c r="A181" s="6" t="s">
        <v>362</v>
      </c>
      <c r="B181" t="str">
        <f>HYPERLINK("https://www.onsemi.com/PowerSolutions/product.do?id=CS3351","CS3351")</f>
        <v>CS3351</v>
      </c>
      <c r="C181" t="str">
        <f>HYPERLINK("https://www.onsemi.com/pub/Collateral/CS3341-D.PDF","CS3341/D (78.0kB)")</f>
        <v>CS3341/D (78.0kB)</v>
      </c>
      <c r="D181" t="s">
        <v>363</v>
      </c>
      <c r="E181" s="2" t="s">
        <v>27</v>
      </c>
      <c r="F181" t="s">
        <v>28</v>
      </c>
      <c r="H181" s="2" t="s">
        <v>33</v>
      </c>
      <c r="I181" s="2"/>
      <c r="J181" s="2"/>
      <c r="K181" s="2"/>
      <c r="L181" s="2" t="s">
        <v>364</v>
      </c>
      <c r="M181" s="2"/>
      <c r="N181" s="2"/>
      <c r="O181" s="2"/>
      <c r="P181" s="2"/>
      <c r="Q181" s="2"/>
      <c r="R181" s="2"/>
      <c r="S181" s="2"/>
      <c r="T181" t="s">
        <v>32</v>
      </c>
      <c r="U181" t="s">
        <v>32</v>
      </c>
      <c r="V181" t="s">
        <v>32</v>
      </c>
      <c r="W181" t="s">
        <v>32</v>
      </c>
      <c r="X181" s="2" t="s">
        <v>365</v>
      </c>
      <c r="Y181" s="2" t="s">
        <v>65</v>
      </c>
    </row>
    <row r="182" spans="1:25" ht="25.5" x14ac:dyDescent="0.2">
      <c r="A182" s="6" t="s">
        <v>362</v>
      </c>
      <c r="B182" t="str">
        <f>HYPERLINK("https://www.onsemi.com/PowerSolutions/product.do?id=CS8190","CS8190")</f>
        <v>CS8190</v>
      </c>
      <c r="C182" t="str">
        <f>HYPERLINK("https://www.onsemi.com/pub/Collateral/CS8190-D.PDF","CS8190/D (120kB)")</f>
        <v>CS8190/D (120kB)</v>
      </c>
      <c r="D182" t="s">
        <v>366</v>
      </c>
      <c r="E182" s="2" t="s">
        <v>27</v>
      </c>
      <c r="F182" t="s">
        <v>28</v>
      </c>
      <c r="H182" s="2" t="s">
        <v>33</v>
      </c>
      <c r="I182" s="2"/>
      <c r="J182" s="2"/>
      <c r="K182" s="2"/>
      <c r="L182" s="2" t="s">
        <v>124</v>
      </c>
      <c r="M182" s="2"/>
      <c r="N182" s="2"/>
      <c r="O182" s="2"/>
      <c r="P182" s="2"/>
      <c r="Q182" s="2"/>
      <c r="R182" s="2"/>
      <c r="S182" s="2"/>
      <c r="T182" s="2" t="s">
        <v>367</v>
      </c>
      <c r="U182" s="2" t="s">
        <v>368</v>
      </c>
      <c r="V182" s="2" t="s">
        <v>369</v>
      </c>
      <c r="W182" s="2" t="s">
        <v>368</v>
      </c>
      <c r="X182" s="2" t="s">
        <v>365</v>
      </c>
      <c r="Y182" s="2" t="s">
        <v>234</v>
      </c>
    </row>
    <row r="183" spans="1:25" ht="51" x14ac:dyDescent="0.2">
      <c r="A183" s="6" t="s">
        <v>362</v>
      </c>
      <c r="B183" t="str">
        <f>HYPERLINK("https://www.onsemi.com/PowerSolutions/product.do?id=FAN7080_GF085","FAN7080_GF085")</f>
        <v>FAN7080_GF085</v>
      </c>
      <c r="C183" t="str">
        <f>HYPERLINK("https://www.onsemi.com/pub/Collateral/FAN7080_GF085-D.PDF","FAN7080_GF085/D (385kB)")</f>
        <v>FAN7080_GF085/D (385kB)</v>
      </c>
      <c r="D183" t="s">
        <v>370</v>
      </c>
      <c r="E183" s="2" t="s">
        <v>15</v>
      </c>
      <c r="F183" t="s">
        <v>28</v>
      </c>
      <c r="H183" s="2" t="s">
        <v>33</v>
      </c>
      <c r="I183" s="2"/>
      <c r="J183" s="2"/>
      <c r="K183" s="2"/>
      <c r="L183" s="2" t="s">
        <v>95</v>
      </c>
      <c r="M183" s="2"/>
      <c r="N183" s="2"/>
      <c r="O183" s="2"/>
      <c r="P183" s="2"/>
      <c r="Q183" s="2"/>
      <c r="R183" s="2"/>
      <c r="S183" s="2"/>
      <c r="T183" s="2" t="s">
        <v>371</v>
      </c>
      <c r="U183" s="2" t="s">
        <v>372</v>
      </c>
      <c r="V183" s="2" t="s">
        <v>38</v>
      </c>
      <c r="W183" s="2" t="s">
        <v>368</v>
      </c>
      <c r="X183" s="2" t="s">
        <v>365</v>
      </c>
      <c r="Y183" s="2" t="s">
        <v>237</v>
      </c>
    </row>
    <row r="184" spans="1:25" ht="25.5" x14ac:dyDescent="0.2">
      <c r="A184" s="6" t="s">
        <v>362</v>
      </c>
      <c r="B184" t="str">
        <f>HYPERLINK("https://www.onsemi.com/PowerSolutions/product.do?id=FAN8831","FAN8831")</f>
        <v>FAN8831</v>
      </c>
      <c r="C184" t="str">
        <f>HYPERLINK("https://www.onsemi.com/pub/Collateral/FAN8831-D.pdf","FAN8831/D (626kB)")</f>
        <v>FAN8831/D (626kB)</v>
      </c>
      <c r="D184" t="s">
        <v>373</v>
      </c>
      <c r="E184" s="2" t="s">
        <v>27</v>
      </c>
      <c r="F184" t="s">
        <v>28</v>
      </c>
      <c r="H184" s="2" t="s">
        <v>33</v>
      </c>
      <c r="I184" s="2"/>
      <c r="J184" s="2"/>
      <c r="K184" s="2"/>
      <c r="L184" s="2" t="s">
        <v>89</v>
      </c>
      <c r="M184" s="2"/>
      <c r="N184" s="2"/>
      <c r="O184" s="2"/>
      <c r="P184" s="2"/>
      <c r="Q184" s="2"/>
      <c r="R184" s="2"/>
      <c r="S184" s="2"/>
      <c r="T184" s="2" t="s">
        <v>17</v>
      </c>
      <c r="U184" s="2" t="s">
        <v>374</v>
      </c>
      <c r="V184" s="2" t="s">
        <v>368</v>
      </c>
      <c r="W184" s="2" t="s">
        <v>368</v>
      </c>
      <c r="X184" s="2" t="s">
        <v>365</v>
      </c>
      <c r="Y184" s="2" t="s">
        <v>375</v>
      </c>
    </row>
    <row r="185" spans="1:25" ht="25.5" x14ac:dyDescent="0.2">
      <c r="A185" s="6" t="s">
        <v>362</v>
      </c>
      <c r="B185" t="str">
        <f>HYPERLINK("https://www.onsemi.com/PowerSolutions/product.do?id=FAN8841","FAN8841")</f>
        <v>FAN8841</v>
      </c>
      <c r="C185" t="str">
        <f>HYPERLINK("https://www.onsemi.com/pub/Collateral/FAN8841-D.pdf","FAN8841/D (886kB)")</f>
        <v>FAN8841/D (886kB)</v>
      </c>
      <c r="D185" t="s">
        <v>376</v>
      </c>
      <c r="E185" s="2" t="s">
        <v>27</v>
      </c>
      <c r="F185" t="s">
        <v>28</v>
      </c>
      <c r="H185" s="2" t="s">
        <v>33</v>
      </c>
      <c r="I185" s="2"/>
      <c r="J185" s="2"/>
      <c r="K185" s="2"/>
      <c r="L185" s="2" t="s">
        <v>64</v>
      </c>
      <c r="M185" s="2"/>
      <c r="N185" s="2"/>
      <c r="O185" s="2"/>
      <c r="P185" s="2"/>
      <c r="Q185" s="2"/>
      <c r="R185" s="2"/>
      <c r="S185" s="2"/>
      <c r="T185" s="2" t="s">
        <v>17</v>
      </c>
      <c r="U185" s="2" t="s">
        <v>374</v>
      </c>
      <c r="V185" s="2" t="s">
        <v>368</v>
      </c>
      <c r="W185" s="2" t="s">
        <v>368</v>
      </c>
      <c r="X185" s="2" t="s">
        <v>365</v>
      </c>
      <c r="Y185" s="2" t="s">
        <v>375</v>
      </c>
    </row>
    <row r="186" spans="1:25" ht="25.5" x14ac:dyDescent="0.2">
      <c r="A186" s="6" t="s">
        <v>362</v>
      </c>
      <c r="B186" t="str">
        <f>HYPERLINK("https://www.onsemi.com/PowerSolutions/product.do?id=LB1205M","LB1205M")</f>
        <v>LB1205M</v>
      </c>
      <c r="C186" t="str">
        <f>HYPERLINK("https://www.onsemi.com/pub/Collateral/EN5916-D.PDF","EN5916/D (66.0kB)")</f>
        <v>EN5916/D (66.0kB)</v>
      </c>
      <c r="D186" t="s">
        <v>377</v>
      </c>
      <c r="E186" s="2" t="s">
        <v>40</v>
      </c>
      <c r="F186" t="s">
        <v>28</v>
      </c>
      <c r="H186" s="2" t="s">
        <v>55</v>
      </c>
      <c r="I186" s="2"/>
      <c r="J186" s="2"/>
      <c r="K186" s="2"/>
      <c r="L186" s="2" t="s">
        <v>161</v>
      </c>
      <c r="M186" s="2"/>
      <c r="N186" s="2"/>
      <c r="O186" s="2"/>
      <c r="P186" s="2"/>
      <c r="Q186" s="2"/>
      <c r="R186" s="2"/>
      <c r="S186" s="2"/>
      <c r="T186" t="s">
        <v>32</v>
      </c>
      <c r="U186" t="s">
        <v>32</v>
      </c>
      <c r="V186" t="s">
        <v>32</v>
      </c>
      <c r="W186" t="s">
        <v>32</v>
      </c>
      <c r="X186" t="s">
        <v>32</v>
      </c>
      <c r="Y186" s="2" t="s">
        <v>108</v>
      </c>
    </row>
    <row r="187" spans="1:25" ht="25.5" x14ac:dyDescent="0.2">
      <c r="A187" s="6" t="s">
        <v>362</v>
      </c>
      <c r="B187" t="str">
        <f>HYPERLINK("https://www.onsemi.com/PowerSolutions/product.do?id=LV8498CT","LV8498CT")</f>
        <v>LV8498CT</v>
      </c>
      <c r="C187" t="str">
        <f>HYPERLINK("https://www.onsemi.com/pub/Collateral/ENA1625-D.PDF","ENA1625/D (79.0kB)")</f>
        <v>ENA1625/D (79.0kB)</v>
      </c>
      <c r="D187" t="s">
        <v>378</v>
      </c>
      <c r="E187" s="2" t="s">
        <v>27</v>
      </c>
      <c r="F187" t="s">
        <v>28</v>
      </c>
      <c r="H187" s="2" t="s">
        <v>33</v>
      </c>
      <c r="I187" s="2"/>
      <c r="J187" s="2"/>
      <c r="K187" s="2"/>
      <c r="L187" s="2" t="s">
        <v>17</v>
      </c>
      <c r="M187" s="2"/>
      <c r="N187" s="2"/>
      <c r="O187" s="2"/>
      <c r="P187" s="2"/>
      <c r="Q187" s="2"/>
      <c r="R187" s="2"/>
      <c r="S187" s="2"/>
      <c r="T187" t="s">
        <v>32</v>
      </c>
      <c r="U187" s="2" t="s">
        <v>379</v>
      </c>
      <c r="V187" s="2" t="s">
        <v>194</v>
      </c>
      <c r="W187" s="2" t="s">
        <v>21</v>
      </c>
      <c r="X187" t="s">
        <v>32</v>
      </c>
      <c r="Y187" s="2" t="s">
        <v>380</v>
      </c>
    </row>
    <row r="188" spans="1:25" ht="25.5" x14ac:dyDescent="0.2">
      <c r="A188" s="6" t="s">
        <v>362</v>
      </c>
      <c r="B188" t="str">
        <f>HYPERLINK("https://www.onsemi.com/PowerSolutions/product.do?id=MC1413","MC1413")</f>
        <v>MC1413</v>
      </c>
      <c r="C188" t="str">
        <f>HYPERLINK("https://www.onsemi.com/pub/Collateral/MC1413-D.PDF","MC1413/D (75.0kB)")</f>
        <v>MC1413/D (75.0kB)</v>
      </c>
      <c r="D188" t="s">
        <v>381</v>
      </c>
      <c r="E188" s="2" t="s">
        <v>27</v>
      </c>
      <c r="F188" t="s">
        <v>28</v>
      </c>
      <c r="H188" s="2" t="s">
        <v>161</v>
      </c>
      <c r="I188" s="2"/>
      <c r="J188" s="2"/>
      <c r="K188" s="2"/>
      <c r="L188" s="2" t="s">
        <v>351</v>
      </c>
      <c r="M188" s="2"/>
      <c r="N188" s="2"/>
      <c r="O188" s="2"/>
      <c r="P188" s="2"/>
      <c r="Q188" s="2"/>
      <c r="R188" s="2"/>
      <c r="S188" s="2"/>
      <c r="T188" s="2" t="s">
        <v>232</v>
      </c>
      <c r="U188" s="2" t="s">
        <v>351</v>
      </c>
      <c r="V188" s="2" t="s">
        <v>38</v>
      </c>
      <c r="W188" s="2" t="s">
        <v>382</v>
      </c>
      <c r="X188" s="2" t="s">
        <v>365</v>
      </c>
      <c r="Y188" s="2" t="s">
        <v>383</v>
      </c>
    </row>
    <row r="189" spans="1:25" ht="25.5" x14ac:dyDescent="0.2">
      <c r="A189" s="6" t="s">
        <v>362</v>
      </c>
      <c r="B189" t="str">
        <f>HYPERLINK("https://www.onsemi.com/PowerSolutions/product.do?id=MDC3105","MDC3105")</f>
        <v>MDC3105</v>
      </c>
      <c r="C189" t="str">
        <f>HYPERLINK("https://www.onsemi.com/pub/Collateral/MDC3105-D.PDF","MDC3105/D (180kB)")</f>
        <v>MDC3105/D (180kB)</v>
      </c>
      <c r="D189" t="s">
        <v>384</v>
      </c>
      <c r="E189" s="2" t="s">
        <v>27</v>
      </c>
      <c r="F189" t="s">
        <v>28</v>
      </c>
      <c r="H189" s="2" t="s">
        <v>385</v>
      </c>
      <c r="I189" s="2"/>
      <c r="J189" s="2"/>
      <c r="K189" s="2"/>
      <c r="L189" s="2" t="s">
        <v>57</v>
      </c>
      <c r="M189" s="2"/>
      <c r="N189" s="2"/>
      <c r="O189" s="2"/>
      <c r="P189" s="2"/>
      <c r="Q189" s="2"/>
      <c r="R189" s="2"/>
      <c r="S189" s="2"/>
      <c r="T189" s="2" t="s">
        <v>57</v>
      </c>
      <c r="U189" s="2" t="s">
        <v>386</v>
      </c>
      <c r="V189" s="2" t="s">
        <v>228</v>
      </c>
      <c r="W189" s="2" t="s">
        <v>387</v>
      </c>
      <c r="X189" s="2" t="s">
        <v>365</v>
      </c>
      <c r="Y189" s="2" t="s">
        <v>388</v>
      </c>
    </row>
    <row r="190" spans="1:25" ht="51" x14ac:dyDescent="0.2">
      <c r="A190" s="6" t="s">
        <v>362</v>
      </c>
      <c r="B190" t="str">
        <f>HYPERLINK("https://www.onsemi.com/PowerSolutions/product.do?id=NCV1413","NCV1413")</f>
        <v>NCV1413</v>
      </c>
      <c r="C190" t="str">
        <f>HYPERLINK("https://www.onsemi.com/pub/Collateral/MC1413-D.PDF","MC1413/D (75.0kB)")</f>
        <v>MC1413/D (75.0kB)</v>
      </c>
      <c r="D190" t="s">
        <v>389</v>
      </c>
      <c r="E190" s="2" t="s">
        <v>15</v>
      </c>
      <c r="F190" t="s">
        <v>28</v>
      </c>
      <c r="H190" s="2" t="s">
        <v>161</v>
      </c>
      <c r="I190" s="2"/>
      <c r="J190" s="2"/>
      <c r="K190" s="2"/>
      <c r="L190" s="2" t="s">
        <v>351</v>
      </c>
      <c r="M190" s="2"/>
      <c r="N190" s="2"/>
      <c r="O190" s="2"/>
      <c r="P190" s="2"/>
      <c r="Q190" s="2"/>
      <c r="R190" s="2"/>
      <c r="S190" s="2"/>
      <c r="T190" s="2" t="s">
        <v>232</v>
      </c>
      <c r="U190" s="2" t="s">
        <v>351</v>
      </c>
      <c r="V190" s="2" t="s">
        <v>38</v>
      </c>
      <c r="W190" s="2" t="s">
        <v>382</v>
      </c>
      <c r="X190" s="2" t="s">
        <v>365</v>
      </c>
      <c r="Y190" s="2" t="s">
        <v>383</v>
      </c>
    </row>
    <row r="191" spans="1:25" ht="51" x14ac:dyDescent="0.2">
      <c r="A191" s="6" t="s">
        <v>362</v>
      </c>
      <c r="B191" t="str">
        <f>HYPERLINK("https://www.onsemi.com/PowerSolutions/product.do?id=NCV7240","NCV7240")</f>
        <v>NCV7240</v>
      </c>
      <c r="C191" t="str">
        <f>HYPERLINK("https://www.onsemi.com/pub/Collateral/NCV7240-D.PDF","NCV7240/D (234kB)")</f>
        <v>NCV7240/D (234kB)</v>
      </c>
      <c r="D191" t="s">
        <v>390</v>
      </c>
      <c r="E191" s="2" t="s">
        <v>15</v>
      </c>
      <c r="F191" t="s">
        <v>28</v>
      </c>
      <c r="H191" s="2" t="s">
        <v>81</v>
      </c>
      <c r="I191" s="2"/>
      <c r="J191" s="2"/>
      <c r="K191" s="2"/>
      <c r="L191" s="2" t="s">
        <v>64</v>
      </c>
      <c r="M191" s="2"/>
      <c r="N191" s="2"/>
      <c r="O191" s="2"/>
      <c r="P191" s="2"/>
      <c r="Q191" s="2"/>
      <c r="R191" s="2"/>
      <c r="S191" s="2"/>
      <c r="T191" s="2" t="s">
        <v>17</v>
      </c>
      <c r="U191" s="2" t="s">
        <v>391</v>
      </c>
      <c r="V191" s="2" t="s">
        <v>111</v>
      </c>
      <c r="W191" s="2" t="s">
        <v>37</v>
      </c>
      <c r="X191" s="2" t="s">
        <v>365</v>
      </c>
      <c r="Y191" s="2" t="s">
        <v>67</v>
      </c>
    </row>
    <row r="192" spans="1:25" ht="38.25" x14ac:dyDescent="0.2">
      <c r="A192" s="6" t="s">
        <v>362</v>
      </c>
      <c r="B192" t="str">
        <f>HYPERLINK("https://www.onsemi.com/PowerSolutions/product.do?id=NCV7608","NCV7608")</f>
        <v>NCV7608</v>
      </c>
      <c r="C192" t="str">
        <f>HYPERLINK("https://www.onsemi.com/pub/Collateral/NCV7608-D.PDF","NCV7608/D (251kB)")</f>
        <v>NCV7608/D (251kB)</v>
      </c>
      <c r="D192" t="s">
        <v>392</v>
      </c>
      <c r="E192" s="2" t="s">
        <v>393</v>
      </c>
      <c r="F192" t="s">
        <v>28</v>
      </c>
      <c r="H192" s="2" t="s">
        <v>81</v>
      </c>
      <c r="I192" s="2"/>
      <c r="J192" s="2"/>
      <c r="K192" s="2"/>
      <c r="L192" s="2" t="s">
        <v>17</v>
      </c>
      <c r="M192" s="2"/>
      <c r="N192" s="2"/>
      <c r="O192" s="2"/>
      <c r="P192" s="2"/>
      <c r="Q192" s="2"/>
      <c r="R192" s="2"/>
      <c r="S192" s="2"/>
      <c r="T192" s="2" t="s">
        <v>99</v>
      </c>
      <c r="U192" s="2" t="s">
        <v>226</v>
      </c>
      <c r="V192" s="2" t="s">
        <v>394</v>
      </c>
      <c r="W192" s="2" t="s">
        <v>103</v>
      </c>
      <c r="X192" s="2" t="s">
        <v>365</v>
      </c>
      <c r="Y192" s="2" t="s">
        <v>395</v>
      </c>
    </row>
    <row r="193" spans="1:25" ht="51" x14ac:dyDescent="0.2">
      <c r="A193" s="6" t="s">
        <v>362</v>
      </c>
      <c r="B193" t="str">
        <f>HYPERLINK("https://www.onsemi.com/PowerSolutions/product.do?id=NCV7702B","NCV7702B")</f>
        <v>NCV7702B</v>
      </c>
      <c r="C193" t="str">
        <f>HYPERLINK("https://www.onsemi.com/pub/Collateral/NCV7702B-D.PDF","NCV7702B/D (107.0kB)")</f>
        <v>NCV7702B/D (107.0kB)</v>
      </c>
      <c r="D193" t="s">
        <v>396</v>
      </c>
      <c r="E193" s="2" t="s">
        <v>15</v>
      </c>
      <c r="F193" t="s">
        <v>28</v>
      </c>
      <c r="H193" s="2" t="s">
        <v>55</v>
      </c>
      <c r="I193" s="2"/>
      <c r="J193" s="2"/>
      <c r="K193" s="2"/>
      <c r="L193" s="2" t="s">
        <v>99</v>
      </c>
      <c r="M193" s="2"/>
      <c r="N193" s="2"/>
      <c r="O193" s="2"/>
      <c r="P193" s="2"/>
      <c r="Q193" s="2"/>
      <c r="R193" s="2"/>
      <c r="S193" s="2"/>
      <c r="T193" t="s">
        <v>32</v>
      </c>
      <c r="U193" t="s">
        <v>32</v>
      </c>
      <c r="V193" t="s">
        <v>32</v>
      </c>
      <c r="W193" t="s">
        <v>32</v>
      </c>
      <c r="X193" s="2" t="s">
        <v>365</v>
      </c>
      <c r="Y193" s="2" t="s">
        <v>238</v>
      </c>
    </row>
    <row r="194" spans="1:25" ht="51" x14ac:dyDescent="0.2">
      <c r="A194" s="6" t="s">
        <v>362</v>
      </c>
      <c r="B194" t="str">
        <f>HYPERLINK("https://www.onsemi.com/PowerSolutions/product.do?id=NCV7705","NCV7705")</f>
        <v>NCV7705</v>
      </c>
      <c r="C194" t="str">
        <f>HYPERLINK("https://www.onsemi.com/pub/Collateral/NCV7705-D.PDF","NCV7705/D (263kB)")</f>
        <v>NCV7705/D (263kB)</v>
      </c>
      <c r="D194" t="s">
        <v>397</v>
      </c>
      <c r="E194" s="2" t="s">
        <v>15</v>
      </c>
      <c r="F194" t="s">
        <v>28</v>
      </c>
      <c r="H194" t="s">
        <v>32</v>
      </c>
      <c r="L194" t="s">
        <v>32</v>
      </c>
      <c r="T194" t="s">
        <v>32</v>
      </c>
      <c r="U194" t="s">
        <v>32</v>
      </c>
      <c r="V194" t="s">
        <v>32</v>
      </c>
      <c r="W194" t="s">
        <v>32</v>
      </c>
      <c r="X194" t="s">
        <v>32</v>
      </c>
      <c r="Y194" s="2" t="s">
        <v>395</v>
      </c>
    </row>
    <row r="195" spans="1:25" ht="51" x14ac:dyDescent="0.2">
      <c r="A195" s="6" t="s">
        <v>362</v>
      </c>
      <c r="B195" t="str">
        <f>HYPERLINK("https://www.onsemi.com/PowerSolutions/product.do?id=NCV7707","NCV7707")</f>
        <v>NCV7707</v>
      </c>
      <c r="C195" t="str">
        <f>HYPERLINK("https://www.onsemi.com/pub/Collateral/NCV7707-D.PDF","NCV7707/D (307kB)")</f>
        <v>NCV7707/D (307kB)</v>
      </c>
      <c r="D195" t="s">
        <v>398</v>
      </c>
      <c r="E195" s="2" t="s">
        <v>15</v>
      </c>
      <c r="F195" t="s">
        <v>28</v>
      </c>
      <c r="H195" s="2" t="s">
        <v>76</v>
      </c>
      <c r="I195" s="2"/>
      <c r="J195" s="2"/>
      <c r="K195" s="2"/>
      <c r="L195" s="2" t="s">
        <v>143</v>
      </c>
      <c r="M195" s="2"/>
      <c r="N195" s="2"/>
      <c r="O195" s="2"/>
      <c r="P195" s="2"/>
      <c r="Q195" s="2"/>
      <c r="R195" s="2"/>
      <c r="S195" s="2"/>
      <c r="T195" s="2" t="s">
        <v>17</v>
      </c>
      <c r="U195" s="2" t="s">
        <v>18</v>
      </c>
      <c r="V195" s="2" t="s">
        <v>368</v>
      </c>
      <c r="W195" s="2" t="s">
        <v>37</v>
      </c>
      <c r="X195" s="2" t="s">
        <v>365</v>
      </c>
      <c r="Y195" s="2" t="s">
        <v>395</v>
      </c>
    </row>
    <row r="196" spans="1:25" ht="51" x14ac:dyDescent="0.2">
      <c r="A196" s="6" t="s">
        <v>362</v>
      </c>
      <c r="B196" t="str">
        <f>HYPERLINK("https://www.onsemi.com/PowerSolutions/product.do?id=NCV7708F","NCV7708F")</f>
        <v>NCV7708F</v>
      </c>
      <c r="C196" t="str">
        <f>HYPERLINK("https://www.onsemi.com/pub/Collateral/NCV7708F-D.PDF","NCV7708F/D (149kB)")</f>
        <v>NCV7708F/D (149kB)</v>
      </c>
      <c r="D196" t="s">
        <v>399</v>
      </c>
      <c r="E196" s="2" t="s">
        <v>15</v>
      </c>
      <c r="F196" t="s">
        <v>28</v>
      </c>
      <c r="H196" s="2" t="s">
        <v>76</v>
      </c>
      <c r="I196" s="2"/>
      <c r="J196" s="2"/>
      <c r="K196" s="2"/>
      <c r="L196" s="2" t="s">
        <v>17</v>
      </c>
      <c r="M196" s="2"/>
      <c r="N196" s="2"/>
      <c r="O196" s="2"/>
      <c r="P196" s="2"/>
      <c r="Q196" s="2"/>
      <c r="R196" s="2"/>
      <c r="S196" s="2"/>
      <c r="T196" s="2" t="s">
        <v>17</v>
      </c>
      <c r="U196" s="2" t="s">
        <v>18</v>
      </c>
      <c r="V196" s="2" t="s">
        <v>368</v>
      </c>
      <c r="W196" s="2" t="s">
        <v>400</v>
      </c>
      <c r="X196" s="2" t="s">
        <v>365</v>
      </c>
      <c r="Y196" s="2" t="s">
        <v>401</v>
      </c>
    </row>
    <row r="197" spans="1:25" ht="51" x14ac:dyDescent="0.2">
      <c r="A197" s="6" t="s">
        <v>362</v>
      </c>
      <c r="B197" t="str">
        <f>HYPERLINK("https://www.onsemi.com/PowerSolutions/product.do?id=NCV7710","NCV7710")</f>
        <v>NCV7710</v>
      </c>
      <c r="C197" t="str">
        <f>HYPERLINK("https://www.onsemi.com/pub/Collateral/NCV7710-D.PDF","NCV7710/D (234kB)")</f>
        <v>NCV7710/D (234kB)</v>
      </c>
      <c r="D197" t="s">
        <v>402</v>
      </c>
      <c r="E197" s="2" t="s">
        <v>15</v>
      </c>
      <c r="F197" t="s">
        <v>28</v>
      </c>
      <c r="H197" s="2" t="s">
        <v>21</v>
      </c>
      <c r="I197" s="2"/>
      <c r="J197" s="2"/>
      <c r="K197" s="2"/>
      <c r="L197" s="2" t="s">
        <v>64</v>
      </c>
      <c r="M197" s="2"/>
      <c r="N197" s="2"/>
      <c r="O197" s="2"/>
      <c r="P197" s="2"/>
      <c r="Q197" s="2"/>
      <c r="R197" s="2"/>
      <c r="S197" s="2"/>
      <c r="T197" s="2" t="s">
        <v>17</v>
      </c>
      <c r="U197" s="2" t="s">
        <v>18</v>
      </c>
      <c r="V197" s="2" t="s">
        <v>57</v>
      </c>
      <c r="W197" s="2" t="s">
        <v>278</v>
      </c>
      <c r="X197" s="2" t="s">
        <v>365</v>
      </c>
      <c r="Y197" s="2" t="s">
        <v>395</v>
      </c>
    </row>
    <row r="198" spans="1:25" ht="51" x14ac:dyDescent="0.2">
      <c r="A198" s="6" t="s">
        <v>362</v>
      </c>
      <c r="B198" t="str">
        <f>HYPERLINK("https://www.onsemi.com/PowerSolutions/product.do?id=NCV7748","NCV7748")</f>
        <v>NCV7748</v>
      </c>
      <c r="C198" t="str">
        <f>HYPERLINK("https://www.onsemi.com/pub/Collateral/NCV7748-D.PDF","NCV7748/D (584kB)")</f>
        <v>NCV7748/D (584kB)</v>
      </c>
      <c r="D198" t="s">
        <v>403</v>
      </c>
      <c r="E198" s="2" t="s">
        <v>15</v>
      </c>
      <c r="F198" t="s">
        <v>28</v>
      </c>
      <c r="H198" s="2" t="s">
        <v>81</v>
      </c>
      <c r="I198" s="2"/>
      <c r="J198" s="2"/>
      <c r="K198" s="2"/>
      <c r="L198" s="2" t="s">
        <v>17</v>
      </c>
      <c r="M198" s="2"/>
      <c r="N198" s="2"/>
      <c r="O198" s="2"/>
      <c r="P198" s="2"/>
      <c r="Q198" s="2"/>
      <c r="R198" s="2"/>
      <c r="S198" s="2"/>
      <c r="T198" t="s">
        <v>32</v>
      </c>
      <c r="U198" s="2" t="s">
        <v>404</v>
      </c>
      <c r="V198" s="2" t="s">
        <v>405</v>
      </c>
      <c r="W198" s="2" t="s">
        <v>107</v>
      </c>
      <c r="X198" s="2" t="s">
        <v>365</v>
      </c>
      <c r="Y198" s="2" t="s">
        <v>406</v>
      </c>
    </row>
    <row r="199" spans="1:25" ht="51" x14ac:dyDescent="0.2">
      <c r="A199" s="6" t="s">
        <v>362</v>
      </c>
      <c r="B199" t="str">
        <f>HYPERLINK("https://www.onsemi.com/PowerSolutions/product.do?id=NCV7750","NCV7750")</f>
        <v>NCV7750</v>
      </c>
      <c r="C199" t="str">
        <f>HYPERLINK("https://www.onsemi.com/pub/Collateral/NCV7750-D.PDF","NCV7750/D (276kB)")</f>
        <v>NCV7750/D (276kB)</v>
      </c>
      <c r="D199" t="s">
        <v>407</v>
      </c>
      <c r="E199" s="2" t="s">
        <v>15</v>
      </c>
      <c r="F199" t="s">
        <v>28</v>
      </c>
      <c r="H199" s="2" t="s">
        <v>81</v>
      </c>
      <c r="I199" s="2"/>
      <c r="J199" s="2"/>
      <c r="K199" s="2"/>
      <c r="L199" s="2" t="s">
        <v>17</v>
      </c>
      <c r="M199" s="2"/>
      <c r="N199" s="2"/>
      <c r="O199" s="2"/>
      <c r="P199" s="2"/>
      <c r="Q199" s="2"/>
      <c r="R199" s="2"/>
      <c r="S199" s="2"/>
      <c r="T199" t="s">
        <v>32</v>
      </c>
      <c r="U199" s="2" t="s">
        <v>391</v>
      </c>
      <c r="V199" s="2" t="s">
        <v>33</v>
      </c>
      <c r="W199" s="2" t="s">
        <v>408</v>
      </c>
      <c r="X199" s="2" t="s">
        <v>365</v>
      </c>
      <c r="Y199" s="2" t="s">
        <v>67</v>
      </c>
    </row>
    <row r="200" spans="1:25" ht="51" x14ac:dyDescent="0.2">
      <c r="A200" s="6" t="s">
        <v>362</v>
      </c>
      <c r="B200" t="str">
        <f>HYPERLINK("https://www.onsemi.com/PowerSolutions/product.do?id=NCV7751","NCV7751")</f>
        <v>NCV7751</v>
      </c>
      <c r="C200" t="str">
        <f>HYPERLINK("https://www.onsemi.com/pub/Collateral/NCV7751-D.PDF","NCV7751/D (323kB)")</f>
        <v>NCV7751/D (323kB)</v>
      </c>
      <c r="D200" t="s">
        <v>409</v>
      </c>
      <c r="E200" s="2" t="s">
        <v>15</v>
      </c>
      <c r="F200" t="s">
        <v>28</v>
      </c>
      <c r="H200" s="2" t="s">
        <v>76</v>
      </c>
      <c r="I200" s="2"/>
      <c r="J200" s="2"/>
      <c r="K200" s="2"/>
      <c r="L200" s="2" t="s">
        <v>17</v>
      </c>
      <c r="M200" s="2"/>
      <c r="N200" s="2"/>
      <c r="O200" s="2"/>
      <c r="P200" s="2"/>
      <c r="Q200" s="2"/>
      <c r="R200" s="2"/>
      <c r="S200" s="2"/>
      <c r="T200" s="2" t="s">
        <v>17</v>
      </c>
      <c r="U200" s="2" t="s">
        <v>391</v>
      </c>
      <c r="V200" s="2" t="s">
        <v>111</v>
      </c>
      <c r="W200" s="2" t="s">
        <v>31</v>
      </c>
      <c r="X200" s="2" t="s">
        <v>365</v>
      </c>
      <c r="Y200" s="2" t="s">
        <v>24</v>
      </c>
    </row>
    <row r="201" spans="1:25" ht="51" x14ac:dyDescent="0.2">
      <c r="A201" s="6" t="s">
        <v>362</v>
      </c>
      <c r="B201" t="str">
        <f>HYPERLINK("https://www.onsemi.com/PowerSolutions/product.do?id=NCV7754","NCV7754")</f>
        <v>NCV7754</v>
      </c>
      <c r="C201" t="str">
        <f>HYPERLINK("https://www.onsemi.com/pub/Collateral/NCV7754-D.PDF","NCV7754/D (379kB)")</f>
        <v>NCV7754/D (379kB)</v>
      </c>
      <c r="D201" t="s">
        <v>410</v>
      </c>
      <c r="E201" s="2" t="s">
        <v>15</v>
      </c>
      <c r="F201" t="s">
        <v>28</v>
      </c>
      <c r="H201" s="2" t="s">
        <v>81</v>
      </c>
      <c r="I201" s="2"/>
      <c r="J201" s="2"/>
      <c r="K201" s="2"/>
      <c r="L201" s="2" t="s">
        <v>17</v>
      </c>
      <c r="M201" s="2"/>
      <c r="N201" s="2"/>
      <c r="O201" s="2"/>
      <c r="P201" s="2"/>
      <c r="Q201" s="2"/>
      <c r="R201" s="2"/>
      <c r="S201" s="2"/>
      <c r="T201" s="2" t="s">
        <v>17</v>
      </c>
      <c r="U201" s="2" t="s">
        <v>391</v>
      </c>
      <c r="V201" s="2" t="s">
        <v>411</v>
      </c>
      <c r="W201" s="2" t="s">
        <v>107</v>
      </c>
      <c r="X201" s="2" t="s">
        <v>365</v>
      </c>
      <c r="Y201" s="2" t="s">
        <v>67</v>
      </c>
    </row>
    <row r="202" spans="1:25" ht="25.5" x14ac:dyDescent="0.2">
      <c r="A202" s="6" t="s">
        <v>362</v>
      </c>
      <c r="B202" t="str">
        <f>HYPERLINK("https://www.onsemi.com/PowerSolutions/product.do?id=NUD3105","NUD3105")</f>
        <v>NUD3105</v>
      </c>
      <c r="C202" t="str">
        <f>HYPERLINK("https://www.onsemi.com/pub/Collateral/NUD3105-D.PDF","NUD3105/D (166kB)")</f>
        <v>NUD3105/D (166kB)</v>
      </c>
      <c r="D202" t="s">
        <v>412</v>
      </c>
      <c r="E202" s="2" t="s">
        <v>27</v>
      </c>
      <c r="F202" t="s">
        <v>28</v>
      </c>
      <c r="H202" s="2" t="s">
        <v>33</v>
      </c>
      <c r="I202" s="2"/>
      <c r="J202" s="2"/>
      <c r="K202" s="2"/>
      <c r="L202" s="2" t="s">
        <v>57</v>
      </c>
      <c r="M202" s="2"/>
      <c r="N202" s="2"/>
      <c r="O202" s="2"/>
      <c r="P202" s="2"/>
      <c r="Q202" s="2"/>
      <c r="R202" s="2"/>
      <c r="S202" s="2"/>
      <c r="T202" s="2" t="s">
        <v>57</v>
      </c>
      <c r="U202" s="2" t="s">
        <v>57</v>
      </c>
      <c r="V202" s="2" t="s">
        <v>38</v>
      </c>
      <c r="W202" s="2" t="s">
        <v>413</v>
      </c>
      <c r="X202" s="2" t="s">
        <v>365</v>
      </c>
      <c r="Y202" s="2" t="s">
        <v>414</v>
      </c>
    </row>
    <row r="203" spans="1:25" ht="51" x14ac:dyDescent="0.2">
      <c r="A203" s="6" t="s">
        <v>362</v>
      </c>
      <c r="B203" t="str">
        <f>HYPERLINK("https://www.onsemi.com/PowerSolutions/product.do?id=NUD3105D","NUD3105D")</f>
        <v>NUD3105D</v>
      </c>
      <c r="C203" t="str">
        <f>HYPERLINK("https://www.onsemi.com/pub/Collateral/NUD3105D-D.PDF","NUD3105D/D (146.0kB)")</f>
        <v>NUD3105D/D (146.0kB)</v>
      </c>
      <c r="D203" t="s">
        <v>415</v>
      </c>
      <c r="E203" s="2" t="s">
        <v>416</v>
      </c>
      <c r="F203" t="s">
        <v>28</v>
      </c>
      <c r="H203" s="2" t="s">
        <v>21</v>
      </c>
      <c r="I203" s="2"/>
      <c r="J203" s="2"/>
      <c r="K203" s="2"/>
      <c r="L203" s="2" t="s">
        <v>57</v>
      </c>
      <c r="M203" s="2"/>
      <c r="N203" s="2"/>
      <c r="O203" s="2"/>
      <c r="P203" s="2"/>
      <c r="Q203" s="2"/>
      <c r="R203" s="2"/>
      <c r="S203" s="2"/>
      <c r="T203" s="2" t="s">
        <v>57</v>
      </c>
      <c r="U203" s="2" t="s">
        <v>57</v>
      </c>
      <c r="V203" s="2" t="s">
        <v>38</v>
      </c>
      <c r="W203" s="2" t="s">
        <v>413</v>
      </c>
      <c r="X203" s="2" t="s">
        <v>365</v>
      </c>
      <c r="Y203" s="2" t="s">
        <v>417</v>
      </c>
    </row>
    <row r="204" spans="1:25" ht="51" x14ac:dyDescent="0.2">
      <c r="A204" s="6" t="s">
        <v>362</v>
      </c>
      <c r="B204" t="str">
        <f>HYPERLINK("https://www.onsemi.com/PowerSolutions/product.do?id=NUD3112","NUD3112")</f>
        <v>NUD3112</v>
      </c>
      <c r="C204" t="str">
        <f>HYPERLINK("https://www.onsemi.com/pub/Collateral/NUD3112-D.PDF","NUD3112/D (141kB)")</f>
        <v>NUD3112/D (141kB)</v>
      </c>
      <c r="D204" t="s">
        <v>418</v>
      </c>
      <c r="E204" s="2" t="s">
        <v>416</v>
      </c>
      <c r="F204" t="s">
        <v>28</v>
      </c>
      <c r="H204" s="2" t="s">
        <v>385</v>
      </c>
      <c r="I204" s="2"/>
      <c r="J204" s="2"/>
      <c r="K204" s="2"/>
      <c r="L204" s="2" t="s">
        <v>104</v>
      </c>
      <c r="M204" s="2"/>
      <c r="N204" s="2"/>
      <c r="O204" s="2"/>
      <c r="P204" s="2"/>
      <c r="Q204" s="2"/>
      <c r="R204" s="2"/>
      <c r="S204" s="2"/>
      <c r="T204" s="2" t="s">
        <v>57</v>
      </c>
      <c r="U204" s="2" t="s">
        <v>104</v>
      </c>
      <c r="V204" s="2" t="s">
        <v>38</v>
      </c>
      <c r="W204" s="2" t="s">
        <v>413</v>
      </c>
      <c r="X204" s="2" t="s">
        <v>365</v>
      </c>
      <c r="Y204" s="2" t="s">
        <v>388</v>
      </c>
    </row>
    <row r="205" spans="1:25" ht="51" x14ac:dyDescent="0.2">
      <c r="A205" s="6" t="s">
        <v>362</v>
      </c>
      <c r="B205" t="str">
        <f>HYPERLINK("https://www.onsemi.com/PowerSolutions/product.do?id=NUD3124","NUD3124")</f>
        <v>NUD3124</v>
      </c>
      <c r="C205" t="str">
        <f>HYPERLINK("https://www.onsemi.com/pub/Collateral/NUD3124-D.PDF","NUD3124/D (159kB)")</f>
        <v>NUD3124/D (159kB)</v>
      </c>
      <c r="D205" t="s">
        <v>419</v>
      </c>
      <c r="E205" s="2" t="s">
        <v>416</v>
      </c>
      <c r="F205" t="s">
        <v>28</v>
      </c>
      <c r="H205" s="2" t="s">
        <v>385</v>
      </c>
      <c r="I205" s="2"/>
      <c r="J205" s="2"/>
      <c r="K205" s="2"/>
      <c r="L205" s="2" t="s">
        <v>143</v>
      </c>
      <c r="M205" s="2"/>
      <c r="N205" s="2"/>
      <c r="O205" s="2"/>
      <c r="P205" s="2"/>
      <c r="Q205" s="2"/>
      <c r="R205" s="2"/>
      <c r="S205" s="2"/>
      <c r="T205" s="2" t="s">
        <v>76</v>
      </c>
      <c r="U205" s="2" t="s">
        <v>143</v>
      </c>
      <c r="V205" s="2" t="s">
        <v>90</v>
      </c>
      <c r="W205" s="2" t="s">
        <v>26</v>
      </c>
      <c r="X205" s="2" t="s">
        <v>365</v>
      </c>
      <c r="Y205" s="2" t="s">
        <v>388</v>
      </c>
    </row>
    <row r="206" spans="1:25" ht="51" x14ac:dyDescent="0.2">
      <c r="A206" s="6" t="s">
        <v>362</v>
      </c>
      <c r="B206" t="str">
        <f>HYPERLINK("https://www.onsemi.com/PowerSolutions/product.do?id=NUD3160","NUD3160")</f>
        <v>NUD3160</v>
      </c>
      <c r="C206" t="str">
        <f>HYPERLINK("https://www.onsemi.com/pub/Collateral/NUD3160-D.PDF","NUD3160/D (152kB)")</f>
        <v>NUD3160/D (152kB)</v>
      </c>
      <c r="D206" t="s">
        <v>420</v>
      </c>
      <c r="E206" s="2" t="s">
        <v>416</v>
      </c>
      <c r="F206" t="s">
        <v>28</v>
      </c>
      <c r="H206" s="2" t="s">
        <v>385</v>
      </c>
      <c r="I206" s="2"/>
      <c r="J206" s="2"/>
      <c r="K206" s="2"/>
      <c r="L206" s="2" t="s">
        <v>168</v>
      </c>
      <c r="M206" s="2"/>
      <c r="N206" s="2"/>
      <c r="O206" s="2"/>
      <c r="P206" s="2"/>
      <c r="Q206" s="2"/>
      <c r="R206" s="2"/>
      <c r="S206" s="2"/>
      <c r="T206" s="2" t="s">
        <v>76</v>
      </c>
      <c r="U206" s="2" t="s">
        <v>168</v>
      </c>
      <c r="V206" s="2" t="s">
        <v>90</v>
      </c>
      <c r="W206" s="2" t="s">
        <v>184</v>
      </c>
      <c r="X206" s="2" t="s">
        <v>365</v>
      </c>
      <c r="Y206" s="2" t="s">
        <v>388</v>
      </c>
    </row>
    <row r="207" spans="1:25" ht="25.5" x14ac:dyDescent="0.2">
      <c r="A207" s="6" t="s">
        <v>362</v>
      </c>
      <c r="B207" t="str">
        <f>HYPERLINK("https://www.onsemi.com/PowerSolutions/product.do?id=UAA2016","UAA2016")</f>
        <v>UAA2016</v>
      </c>
      <c r="C207" t="str">
        <f>HYPERLINK("https://www.onsemi.com/pub/Collateral/UAA2016-D.PDF","UAA2016/D (103.0kB)")</f>
        <v>UAA2016/D (103.0kB)</v>
      </c>
      <c r="D207" t="s">
        <v>421</v>
      </c>
      <c r="E207" s="2" t="s">
        <v>27</v>
      </c>
      <c r="F207" t="s">
        <v>28</v>
      </c>
      <c r="H207" s="2" t="s">
        <v>33</v>
      </c>
      <c r="I207" s="2"/>
      <c r="J207" s="2"/>
      <c r="K207" s="2"/>
      <c r="L207" s="2" t="s">
        <v>422</v>
      </c>
      <c r="M207" s="2"/>
      <c r="N207" s="2"/>
      <c r="O207" s="2"/>
      <c r="P207" s="2"/>
      <c r="Q207" s="2"/>
      <c r="R207" s="2"/>
      <c r="S207" s="2"/>
      <c r="T207" s="2" t="s">
        <v>173</v>
      </c>
      <c r="U207" s="2" t="s">
        <v>46</v>
      </c>
      <c r="V207" s="2" t="s">
        <v>90</v>
      </c>
      <c r="W207" s="2" t="s">
        <v>423</v>
      </c>
      <c r="X207" s="2" t="s">
        <v>424</v>
      </c>
      <c r="Y207" s="2" t="s">
        <v>425</v>
      </c>
    </row>
    <row r="208" spans="1:25" ht="25.5" x14ac:dyDescent="0.2">
      <c r="A208" s="6" t="s">
        <v>362</v>
      </c>
      <c r="B208" t="str">
        <f>HYPERLINK("https://www.onsemi.com/PowerSolutions/product.do?id=ULN2003","ULN2003")</f>
        <v>ULN2003</v>
      </c>
      <c r="C208" t="str">
        <f>HYPERLINK("https://www.onsemi.com/pub/Collateral/ULN2003A-D.PDF","ULN2003A/D (76.0kB)")</f>
        <v>ULN2003A/D (76.0kB)</v>
      </c>
      <c r="D208" t="s">
        <v>426</v>
      </c>
      <c r="E208" s="2" t="s">
        <v>27</v>
      </c>
      <c r="F208" t="s">
        <v>28</v>
      </c>
      <c r="H208" s="2" t="s">
        <v>161</v>
      </c>
      <c r="I208" s="2"/>
      <c r="J208" s="2"/>
      <c r="K208" s="2"/>
      <c r="L208" s="2" t="s">
        <v>351</v>
      </c>
      <c r="M208" s="2"/>
      <c r="N208" s="2"/>
      <c r="O208" s="2"/>
      <c r="P208" s="2"/>
      <c r="Q208" s="2"/>
      <c r="R208" s="2"/>
      <c r="S208" s="2"/>
      <c r="T208" s="2" t="s">
        <v>232</v>
      </c>
      <c r="U208" s="2" t="s">
        <v>351</v>
      </c>
      <c r="V208" s="2" t="s">
        <v>427</v>
      </c>
      <c r="W208" s="2" t="s">
        <v>382</v>
      </c>
      <c r="X208" s="2" t="s">
        <v>365</v>
      </c>
      <c r="Y208" s="2" t="s">
        <v>383</v>
      </c>
    </row>
  </sheetData>
  <phoneticPr fontId="2" type="noConversion"/>
  <pageMargins left="0.75" right="0.75" top="1" bottom="1" header="0.5" footer="0.5"/>
  <pageSetup orientation="portrait" horizontalDpi="300" verticalDpi="3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Motor Drivers, Brushed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陈智勇</dc:creator>
  <cp:lastModifiedBy>陈智勇</cp:lastModifiedBy>
  <dcterms:created xsi:type="dcterms:W3CDTF">2021-03-30T09:50:10Z</dcterms:created>
  <dcterms:modified xsi:type="dcterms:W3CDTF">2021-03-30T09:50:10Z</dcterms:modified>
</cp:coreProperties>
</file>