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5440" windowHeight="11640"/>
  </bookViews>
  <sheets>
    <sheet name="IGBTs" sheetId="1" r:id="rId1"/>
  </sheets>
  <calcPr calcId="124519"/>
</workbook>
</file>

<file path=xl/calcChain.xml><?xml version="1.0" encoding="utf-8"?>
<calcChain xmlns="http://schemas.openxmlformats.org/spreadsheetml/2006/main">
  <c r="A2" i="1"/>
  <c r="B2"/>
  <c r="A3"/>
  <c r="B3"/>
  <c r="A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A198"/>
  <c r="B198"/>
  <c r="A199"/>
  <c r="B199"/>
  <c r="A200"/>
  <c r="B200"/>
  <c r="A201"/>
  <c r="B201"/>
  <c r="A202"/>
  <c r="B202"/>
  <c r="A203"/>
  <c r="B203"/>
  <c r="A204"/>
  <c r="B204"/>
  <c r="A205"/>
  <c r="B205"/>
  <c r="A206"/>
  <c r="B206"/>
  <c r="A207"/>
  <c r="B207"/>
  <c r="A208"/>
  <c r="B208"/>
  <c r="A209"/>
  <c r="B209"/>
  <c r="A210"/>
  <c r="B210"/>
  <c r="A211"/>
  <c r="B211"/>
  <c r="A212"/>
  <c r="B212"/>
  <c r="A213"/>
  <c r="B213"/>
  <c r="A214"/>
  <c r="B214"/>
  <c r="A215"/>
  <c r="B215"/>
  <c r="A216"/>
  <c r="B216"/>
  <c r="A217"/>
  <c r="B217"/>
  <c r="A218"/>
  <c r="B218"/>
  <c r="A219"/>
  <c r="B219"/>
  <c r="A220"/>
  <c r="B220"/>
  <c r="A221"/>
  <c r="B221"/>
  <c r="A222"/>
  <c r="B222"/>
  <c r="A223"/>
  <c r="B223"/>
  <c r="A224"/>
  <c r="B224"/>
  <c r="A225"/>
  <c r="B225"/>
  <c r="A226"/>
  <c r="B226"/>
  <c r="A227"/>
  <c r="B227"/>
  <c r="A228"/>
  <c r="B228"/>
  <c r="A229"/>
  <c r="B229"/>
  <c r="A230"/>
  <c r="B230"/>
  <c r="A231"/>
  <c r="B231"/>
  <c r="A232"/>
  <c r="B232"/>
  <c r="A233"/>
  <c r="B233"/>
  <c r="A234"/>
  <c r="B234"/>
  <c r="A235"/>
  <c r="B235"/>
  <c r="A236"/>
  <c r="B236"/>
  <c r="A237"/>
  <c r="B237"/>
  <c r="A238"/>
  <c r="B238"/>
  <c r="A239"/>
  <c r="B239"/>
  <c r="A240"/>
  <c r="B240"/>
  <c r="A241"/>
  <c r="B241"/>
  <c r="A242"/>
  <c r="B242"/>
  <c r="A243"/>
  <c r="B243"/>
  <c r="A244"/>
  <c r="B244"/>
  <c r="A245"/>
  <c r="B245"/>
  <c r="A246"/>
  <c r="B246"/>
  <c r="A247"/>
  <c r="B247"/>
  <c r="A248"/>
  <c r="B248"/>
  <c r="A249"/>
  <c r="B249"/>
  <c r="A250"/>
  <c r="B250"/>
  <c r="A251"/>
  <c r="B251"/>
  <c r="A252"/>
  <c r="B252"/>
  <c r="A253"/>
  <c r="B253"/>
  <c r="A254"/>
  <c r="B254"/>
  <c r="A255"/>
  <c r="B255"/>
  <c r="A256"/>
  <c r="B256"/>
  <c r="A257"/>
  <c r="B257"/>
  <c r="A258"/>
  <c r="B258"/>
  <c r="A259"/>
  <c r="B259"/>
  <c r="A260"/>
  <c r="B260"/>
  <c r="A261"/>
  <c r="B261"/>
  <c r="A262"/>
  <c r="B262"/>
  <c r="A263"/>
  <c r="B263"/>
  <c r="A264"/>
  <c r="B264"/>
  <c r="A265"/>
  <c r="B265"/>
  <c r="A266"/>
  <c r="B266"/>
</calcChain>
</file>

<file path=xl/comments1.xml><?xml version="1.0" encoding="utf-8"?>
<comments xmlns="http://schemas.openxmlformats.org/spreadsheetml/2006/main">
  <authors>
    <author/>
  </authors>
  <commentList>
    <comment ref="G2" authorId="0">
      <text>
        <r>
          <rPr>
            <sz val="10"/>
            <rFont val="Arial"/>
            <family val="2"/>
          </rPr>
          <t>T&lt;sub&gt;C&lt;/sub&gt;=100°C</t>
        </r>
      </text>
    </comment>
    <comment ref="H2" authorId="0">
      <text>
        <r>
          <rPr>
            <sz val="10"/>
            <rFont val="Arial"/>
            <family val="2"/>
          </rPr>
          <t>T&lt;sub&gt;C&lt;/sub&gt;=100°C</t>
        </r>
      </text>
    </comment>
    <comment ref="J2" authorId="0">
      <text>
        <r>
          <rPr>
            <sz val="10"/>
            <rFont val="Arial"/>
            <family val="2"/>
          </rPr>
          <t>V&lt;sub&gt;CC&lt;/sub&gt;=400V, I&lt;sub&gt;C&lt;/sub&gt;=10A, R&lt;sub&gt;G&lt;/sub&gt;=6Ω, V&lt;sub&gt;GE&lt;/sub&gt;=15V, Inductive Load, T&lt;sub&gt;C&lt;/sub&gt;=25°C</t>
        </r>
      </text>
    </comment>
    <comment ref="K2" authorId="0">
      <text>
        <r>
          <rPr>
            <sz val="10"/>
            <rFont val="Arial"/>
            <family val="2"/>
          </rPr>
          <t>V&lt;sub&gt;CC&lt;/sub&gt;=400V, I&lt;sub&gt;C&lt;/sub&gt;=10A, R&lt;sub&gt;G&lt;/sub&gt;=6Ω, V&lt;sub&gt;GE&lt;/sub&gt;=15V, Inductive Load, T&lt;sub&gt;C&lt;/sub&gt;=25°C</t>
        </r>
      </text>
    </comment>
    <comment ref="L2" authorId="0">
      <text>
        <r>
          <rPr>
            <sz val="10"/>
            <rFont val="Arial"/>
            <family val="2"/>
          </rPr>
          <t>I&lt;sub&gt;F&lt;/sub&gt;=20A, dI&lt;sub&gt;F&lt;/sub&gt;/dt=200A/ns</t>
        </r>
      </text>
    </comment>
    <comment ref="N2" authorId="0">
      <text>
        <r>
          <rPr>
            <sz val="10"/>
            <rFont val="Arial"/>
            <family val="2"/>
          </rPr>
          <t>V&lt;sub&gt;CE&lt;/sub&gt;=400V, I&lt;sub&gt;C&lt;/sub&gt;=40A, V&lt;sub&gt;GE&lt;/sub&gt;=15V</t>
        </r>
      </text>
    </comment>
    <comment ref="Q2" authorId="0">
      <text>
        <r>
          <rPr>
            <sz val="10"/>
            <rFont val="Arial"/>
            <family val="2"/>
          </rPr>
          <t>T&lt;sub&gt;C&lt;/sub&gt;=25°C</t>
        </r>
      </text>
    </comment>
    <comment ref="G3" authorId="0">
      <text>
        <r>
          <rPr>
            <sz val="10"/>
            <rFont val="Arial"/>
            <family val="2"/>
          </rPr>
          <t>T&lt;sub&gt;C&lt;/sub&gt;=100°C</t>
        </r>
      </text>
    </comment>
    <comment ref="H3" authorId="0">
      <text>
        <r>
          <rPr>
            <sz val="10"/>
            <rFont val="Arial"/>
            <family val="2"/>
          </rPr>
          <t>I&lt;sub&gt;C&lt;/sub&gt;=40A, V&lt;sub&gt;GE&lt;/sub&gt;=15V, T&lt;sub&gt;C&lt;/sub&gt;=25°C</t>
        </r>
      </text>
    </comment>
    <comment ref="J3" authorId="0">
      <text>
        <r>
          <rPr>
            <sz val="10"/>
            <rFont val="Arial"/>
            <family val="2"/>
          </rPr>
          <t>V&lt;sub&gt;CC&lt;/sub&gt;=400V, I&lt;sub&gt;C&lt;/sub&gt;=10A, R&lt;sub&gt;G&lt;/sub&gt;=6Ω, V&lt;sub&gt;GE&lt;/sub&gt;=15V, Inductive Load, T&lt;sub&gt;C&lt;/sub&gt;=25°C</t>
        </r>
      </text>
    </comment>
    <comment ref="K3" authorId="0">
      <text>
        <r>
          <rPr>
            <sz val="10"/>
            <rFont val="Arial"/>
            <family val="2"/>
          </rPr>
          <t>V&lt;sub&gt;CC&lt;/sub&gt;=400V, I&lt;sub&gt;C&lt;/sub&gt;=10A, R&lt;sub&gt;G&lt;/sub&gt;=6Ω, V&lt;sub&gt;GE&lt;/sub&gt;=15V, Inductive Load, T&lt;sub&gt;C&lt;/sub&gt;=25°C</t>
        </r>
      </text>
    </comment>
    <comment ref="L3" authorId="0">
      <text>
        <r>
          <rPr>
            <sz val="10"/>
            <rFont val="Arial"/>
            <family val="2"/>
          </rPr>
          <t>I&lt;sub&gt;F&lt;/sub&gt;=20A, dI&lt;sub&gt;F&lt;/sub&gt;/dt=200A/ns</t>
        </r>
      </text>
    </comment>
    <comment ref="N3" authorId="0">
      <text>
        <r>
          <rPr>
            <sz val="10"/>
            <rFont val="Arial"/>
            <family val="2"/>
          </rPr>
          <t>V&lt;sub&gt;CE&lt;/sub&gt;=400V, I&lt;sub&gt;C&lt;/sub&gt;=40A, V&lt;sub&gt;GE&lt;/sub&gt;=15V</t>
        </r>
      </text>
    </comment>
    <comment ref="Q3" authorId="0">
      <text>
        <r>
          <rPr>
            <sz val="10"/>
            <rFont val="Arial"/>
            <family val="2"/>
          </rPr>
          <t>T&lt;sub&gt;C&lt;/sub&gt;=25°C</t>
        </r>
      </text>
    </comment>
    <comment ref="H5" authorId="0">
      <text>
        <r>
          <rPr>
            <sz val="10"/>
            <rFont val="Arial"/>
            <family val="2"/>
          </rPr>
          <t>Ic = 75 A; 25 °</t>
        </r>
      </text>
    </comment>
    <comment ref="I5" authorId="0">
      <text>
        <r>
          <rPr>
            <sz val="10"/>
            <rFont val="Arial"/>
            <family val="2"/>
          </rPr>
          <t>If = 75 A; 25°C</t>
        </r>
      </text>
    </comment>
    <comment ref="Q5" authorId="0">
      <text>
        <r>
          <rPr>
            <sz val="10"/>
            <rFont val="Arial"/>
            <family val="2"/>
          </rPr>
          <t>25°C</t>
        </r>
      </text>
    </comment>
    <comment ref="H9" authorId="0">
      <text>
        <r>
          <rPr>
            <sz val="10"/>
            <rFont val="Arial"/>
            <family val="2"/>
          </rPr>
          <t>IC=30A, VGE=15V</t>
        </r>
      </text>
    </comment>
    <comment ref="I9" authorId="0">
      <text>
        <r>
          <rPr>
            <sz val="10"/>
            <rFont val="Arial"/>
            <family val="2"/>
          </rPr>
          <t>IF=20A</t>
        </r>
      </text>
    </comment>
    <comment ref="J9" authorId="0">
      <text>
        <r>
          <rPr>
            <sz val="10"/>
            <rFont val="Arial"/>
            <family val="2"/>
          </rPr>
          <t>VCC = 400V, IC = 30A, RG = 6Ω, VGE=15V</t>
        </r>
      </text>
    </comment>
    <comment ref="K9" authorId="0">
      <text>
        <r>
          <rPr>
            <sz val="10"/>
            <rFont val="Arial"/>
            <family val="2"/>
          </rPr>
          <t>VCC = 400V, IC = 30A, RG = 6Ω, VGE=15V</t>
        </r>
      </text>
    </comment>
    <comment ref="L9" authorId="0">
      <text>
        <r>
          <rPr>
            <sz val="10"/>
            <rFont val="Arial"/>
            <family val="2"/>
          </rPr>
          <t>IF = 20A, dIF/dt = 200A/µs</t>
        </r>
      </text>
    </comment>
    <comment ref="N9" authorId="0">
      <text>
        <r>
          <rPr>
            <sz val="10"/>
            <rFont val="Arial"/>
            <family val="2"/>
          </rPr>
          <t>VCE = 400V, IC = 30A, VGE = 15V</t>
        </r>
      </text>
    </comment>
    <comment ref="H10" authorId="0">
      <text>
        <r>
          <rPr>
            <sz val="10"/>
            <rFont val="Arial"/>
            <family val="2"/>
          </rPr>
          <t>IC=40A, VGE=15V</t>
        </r>
      </text>
    </comment>
    <comment ref="I10" authorId="0">
      <text>
        <r>
          <rPr>
            <sz val="10"/>
            <rFont val="Arial"/>
            <family val="2"/>
          </rPr>
          <t>IF=20A</t>
        </r>
      </text>
    </comment>
    <comment ref="J10" authorId="0">
      <text>
        <r>
          <rPr>
            <sz val="10"/>
            <rFont val="Arial"/>
            <family val="2"/>
          </rPr>
          <t>VCC= 400 V, IC = 40 A, RG= 6 Ω , VGE = 15 V,</t>
        </r>
      </text>
    </comment>
    <comment ref="K10" authorId="0">
      <text>
        <r>
          <rPr>
            <sz val="10"/>
            <rFont val="Arial"/>
            <family val="2"/>
          </rPr>
          <t>VCC= 400 V, IC = 40 A, RG= 6 Ω , VGE = 15 V,</t>
        </r>
      </text>
    </comment>
    <comment ref="L10" authorId="0">
      <text>
        <r>
          <rPr>
            <sz val="10"/>
            <rFont val="Arial"/>
            <family val="2"/>
          </rPr>
          <t>IF = 20 A</t>
        </r>
      </text>
    </comment>
    <comment ref="N10" authorId="0">
      <text>
        <r>
          <rPr>
            <sz val="10"/>
            <rFont val="Arial"/>
            <family val="2"/>
          </rPr>
          <t>VCE=400V, IC= 40A,</t>
        </r>
      </text>
    </comment>
    <comment ref="Q10" authorId="0">
      <text>
        <r>
          <rPr>
            <sz val="10"/>
            <rFont val="Arial"/>
            <family val="2"/>
          </rPr>
          <t>Tc=25°C</t>
        </r>
      </text>
    </comment>
    <comment ref="G12" authorId="0">
      <text>
        <r>
          <rPr>
            <sz val="10"/>
            <rFont val="Arial"/>
            <family val="2"/>
          </rPr>
          <t>Tc=100°c</t>
        </r>
      </text>
    </comment>
    <comment ref="H12" authorId="0">
      <text>
        <r>
          <rPr>
            <sz val="10"/>
            <rFont val="Arial"/>
            <family val="2"/>
          </rPr>
          <t>Ic=50A</t>
        </r>
      </text>
    </comment>
    <comment ref="I12" authorId="0">
      <text>
        <r>
          <rPr>
            <sz val="10"/>
            <rFont val="Arial"/>
            <family val="2"/>
          </rPr>
          <t>IF=20A, TJ=175</t>
        </r>
      </text>
    </comment>
    <comment ref="N12" authorId="0">
      <text>
        <r>
          <rPr>
            <sz val="10"/>
            <rFont val="Arial"/>
            <family val="2"/>
          </rPr>
          <t>VCE=400V, Ic=50V, VGE=15V</t>
        </r>
      </text>
    </comment>
    <comment ref="G45" authorId="0">
      <text>
        <r>
          <rPr>
            <sz val="10"/>
            <rFont val="Arial"/>
            <family val="2"/>
          </rPr>
          <t>T&lt;sub&gt;C&lt;/sub&gt;=100°C</t>
        </r>
      </text>
    </comment>
    <comment ref="H45" authorId="0">
      <text>
        <r>
          <rPr>
            <sz val="10"/>
            <rFont val="Arial"/>
            <family val="2"/>
          </rPr>
          <t>I&lt;sub&gt;C&lt;/sub&gt;=40A, V&lt;sub&gt;GE&lt;/sub&gt;=15V, T&lt;sub&gt;C&lt;/sub&gt;=25°C</t>
        </r>
      </text>
    </comment>
    <comment ref="J45" authorId="0">
      <text>
        <r>
          <rPr>
            <sz val="10"/>
            <rFont val="Arial"/>
            <family val="2"/>
          </rPr>
          <t>V&lt;sub&gt;CC&lt;/sub&gt;=400V, I&lt;sub&gt;C&lt;/sub&gt;=10A, R&lt;sub&gt;G&lt;/sub&gt;=6Ω, V&lt;sub&gt;GE&lt;/sub&gt;=15V, Inductive Load, T&lt;sub&gt;C&lt;/sub&gt;=25°C</t>
        </r>
      </text>
    </comment>
    <comment ref="K45" authorId="0">
      <text>
        <r>
          <rPr>
            <sz val="10"/>
            <rFont val="Arial"/>
            <family val="2"/>
          </rPr>
          <t>V&lt;sub&gt;CC&lt;/sub&gt;=400V, I&lt;sub&gt;C&lt;/sub&gt;=10A, R&lt;sub&gt;G&lt;/sub&gt;=6Ω, V&lt;sub&gt;GE&lt;/sub&gt;=15V, Inductive Load, T&lt;sub&gt;C&lt;/sub&gt;=25°C</t>
        </r>
      </text>
    </comment>
    <comment ref="L45" authorId="0">
      <text>
        <r>
          <rPr>
            <sz val="10"/>
            <rFont val="Arial"/>
            <family val="2"/>
          </rPr>
          <t>I&lt;sub&gt;F&lt;/sub&gt;=20A, dI&lt;sub&gt;F&lt;/sub&gt;/dt=200A/ns</t>
        </r>
      </text>
    </comment>
    <comment ref="N45" authorId="0">
      <text>
        <r>
          <rPr>
            <sz val="10"/>
            <rFont val="Arial"/>
            <family val="2"/>
          </rPr>
          <t>V&lt;sub&gt;CE&lt;/sub&gt;=400V, I&lt;sub&gt;C&lt;/sub&gt;=40A, V&lt;sub&gt;GE&lt;/sub&gt;=15V</t>
        </r>
      </text>
    </comment>
    <comment ref="Q45" authorId="0">
      <text>
        <r>
          <rPr>
            <sz val="10"/>
            <rFont val="Arial"/>
            <family val="2"/>
          </rPr>
          <t>T&lt;sub&gt;C&lt;/sub&gt;=25°C</t>
        </r>
      </text>
    </comment>
    <comment ref="H65" authorId="0">
      <text>
        <r>
          <rPr>
            <sz val="10"/>
            <rFont val="Arial"/>
            <family val="2"/>
          </rPr>
          <t>Vge=4V, Ice=6A</t>
        </r>
      </text>
    </comment>
    <comment ref="F102" authorId="0">
      <text>
        <r>
          <rPr>
            <sz val="10"/>
            <rFont val="Arial"/>
            <family val="2"/>
          </rPr>
          <t>Ic = 500 µA</t>
        </r>
      </text>
    </comment>
    <comment ref="G102" authorId="0">
      <text>
        <r>
          <rPr>
            <sz val="10"/>
            <rFont val="Arial"/>
            <family val="2"/>
          </rPr>
          <t>@ 100 ° C</t>
        </r>
      </text>
    </comment>
    <comment ref="H102" authorId="0">
      <text>
        <r>
          <rPr>
            <sz val="10"/>
            <rFont val="Arial"/>
            <family val="2"/>
          </rPr>
          <t>Ic = 40 A</t>
        </r>
      </text>
    </comment>
    <comment ref="I102" authorId="0">
      <text>
        <r>
          <rPr>
            <sz val="10"/>
            <rFont val="Arial"/>
            <family val="2"/>
          </rPr>
          <t>40 A</t>
        </r>
      </text>
    </comment>
    <comment ref="J102" authorId="0">
      <text>
        <r>
          <rPr>
            <sz val="10"/>
            <rFont val="Arial"/>
            <family val="2"/>
          </rPr>
          <t>VCC = 600 V, IC = 40 A Rg = 10 _x0004_ VGE = 0 to 15V</t>
        </r>
      </text>
    </comment>
    <comment ref="K102" authorId="0">
      <text>
        <r>
          <rPr>
            <sz val="10"/>
            <rFont val="Arial"/>
            <family val="2"/>
          </rPr>
          <t>VCC = 600 V, IC = 40 A Rg = 10 Ω VGE = 0 to 15V</t>
        </r>
      </text>
    </comment>
    <comment ref="L102" authorId="0">
      <text>
        <r>
          <rPr>
            <sz val="10"/>
            <rFont val="Arial"/>
            <family val="2"/>
          </rPr>
          <t>IF = 40 A, VR = 400 V diF/dt = 500 A/s</t>
        </r>
      </text>
    </comment>
    <comment ref="M102" authorId="0">
      <text>
        <r>
          <rPr>
            <sz val="10"/>
            <rFont val="Arial"/>
            <family val="2"/>
          </rPr>
          <t>IF = 40 A, VR = 400 V diF/dt = 500 A/s</t>
        </r>
      </text>
    </comment>
    <comment ref="N102" authorId="0">
      <text>
        <r>
          <rPr>
            <sz val="10"/>
            <rFont val="Arial"/>
            <family val="2"/>
          </rPr>
          <t>VCE = 600 V, IC = 40 A, VGE = 15 V</t>
        </r>
      </text>
    </comment>
    <comment ref="Q102" authorId="0">
      <text>
        <r>
          <rPr>
            <sz val="10"/>
            <rFont val="Arial"/>
            <family val="2"/>
          </rPr>
          <t>100 C</t>
        </r>
      </text>
    </comment>
    <comment ref="H134" authorId="0">
      <text>
        <r>
          <rPr>
            <sz val="10"/>
            <rFont val="Arial"/>
            <family val="2"/>
          </rPr>
          <t>IC = 50A, VGE = 15V</t>
        </r>
      </text>
    </comment>
    <comment ref="J134" authorId="0">
      <text>
        <r>
          <rPr>
            <sz val="10"/>
            <rFont val="Arial"/>
            <family val="2"/>
          </rPr>
          <t>VCC = 400V, IC = 25A, RG = 6Ω, VGE = 15V</t>
        </r>
      </text>
    </comment>
    <comment ref="K134" authorId="0">
      <text>
        <r>
          <rPr>
            <sz val="10"/>
            <rFont val="Arial"/>
            <family val="2"/>
          </rPr>
          <t>VCC = 400V, IC = 25A, RG = 6Ω, VGE = 15V</t>
        </r>
      </text>
    </comment>
    <comment ref="N134" authorId="0">
      <text>
        <r>
          <rPr>
            <sz val="10"/>
            <rFont val="Arial"/>
            <family val="2"/>
          </rPr>
          <t>VCE = 400 V, IC = 50 A, VGE = 15 V</t>
        </r>
      </text>
    </comment>
    <comment ref="G149" authorId="0">
      <text>
        <r>
          <rPr>
            <sz val="10"/>
            <rFont val="Arial"/>
            <family val="2"/>
          </rPr>
          <t>PULSE</t>
        </r>
      </text>
    </comment>
    <comment ref="G178" authorId="0">
      <text>
        <r>
          <rPr>
            <sz val="10"/>
            <rFont val="Arial"/>
            <family val="2"/>
          </rPr>
          <t>Tc=100°C</t>
        </r>
      </text>
    </comment>
    <comment ref="H178" authorId="0">
      <text>
        <r>
          <rPr>
            <sz val="10"/>
            <rFont val="Arial"/>
            <family val="2"/>
          </rPr>
          <t>VGE=15V, IC=3A, Tc=25°C</t>
        </r>
      </text>
    </comment>
    <comment ref="N178" authorId="0">
      <text>
        <r>
          <rPr>
            <sz val="10"/>
            <rFont val="Arial"/>
            <family val="2"/>
          </rPr>
          <t>VCE=300V, VGE=15V, Ic=3A</t>
        </r>
      </text>
    </comment>
    <comment ref="Q178" authorId="0">
      <text>
        <r>
          <rPr>
            <sz val="10"/>
            <rFont val="Arial"/>
            <family val="2"/>
          </rPr>
          <t>Tc=25°C (Under our ideal heat dissapation, please see the datasheet)</t>
        </r>
      </text>
    </comment>
    <comment ref="G179" authorId="0">
      <text>
        <r>
          <rPr>
            <sz val="10"/>
            <rFont val="Arial"/>
            <family val="2"/>
          </rPr>
          <t>TC=100°C</t>
        </r>
      </text>
    </comment>
    <comment ref="H179" authorId="0">
      <text>
        <r>
          <rPr>
            <sz val="10"/>
            <rFont val="Arial"/>
            <family val="2"/>
          </rPr>
          <t>VGE=15V, IC=5A, Tc=25°C</t>
        </r>
      </text>
    </comment>
    <comment ref="N179" authorId="0">
      <text>
        <r>
          <rPr>
            <sz val="10"/>
            <rFont val="Arial"/>
            <family val="2"/>
          </rPr>
          <t>VCE=300V, VGE=15V, IC=5A</t>
        </r>
      </text>
    </comment>
    <comment ref="Q179" authorId="0">
      <text>
        <r>
          <rPr>
            <sz val="10"/>
            <rFont val="Arial"/>
            <family val="2"/>
          </rPr>
          <t>TC=25°C (Under our ideal heat dissipation condition, please see the datasheet)</t>
        </r>
      </text>
    </comment>
    <comment ref="G180" authorId="0">
      <text>
        <r>
          <rPr>
            <sz val="10"/>
            <rFont val="Arial"/>
            <family val="2"/>
          </rPr>
          <t>Tc=100°C</t>
        </r>
      </text>
    </comment>
    <comment ref="H180" authorId="0">
      <text>
        <r>
          <rPr>
            <sz val="10"/>
            <rFont val="Arial"/>
            <family val="2"/>
          </rPr>
          <t>VGE=15V, IC=10A, Tc=25°C</t>
        </r>
      </text>
    </comment>
    <comment ref="Q180" authorId="0">
      <text>
        <r>
          <rPr>
            <sz val="10"/>
            <rFont val="Arial"/>
            <family val="2"/>
          </rPr>
          <t>Tc=25°C (Under our ideal power dissipation, please see the datasheet)</t>
        </r>
      </text>
    </comment>
    <comment ref="G181" authorId="0">
      <text>
        <r>
          <rPr>
            <sz val="10"/>
            <rFont val="Arial"/>
            <family val="2"/>
          </rPr>
          <t>TC=100°C</t>
        </r>
      </text>
    </comment>
    <comment ref="H181" authorId="0">
      <text>
        <r>
          <rPr>
            <sz val="10"/>
            <rFont val="Arial"/>
            <family val="2"/>
          </rPr>
          <t>VGE=15V, IC=10A, Tc=25°C</t>
        </r>
      </text>
    </comment>
    <comment ref="N181" authorId="0">
      <text>
        <r>
          <rPr>
            <sz val="10"/>
            <rFont val="Arial"/>
            <family val="2"/>
          </rPr>
          <t>VCE=300V, VGE=15V, IC=10A</t>
        </r>
      </text>
    </comment>
    <comment ref="Q181" authorId="0">
      <text>
        <r>
          <rPr>
            <sz val="10"/>
            <rFont val="Arial"/>
            <family val="2"/>
          </rPr>
          <t>TC=25°C (Under our ideal heat dissipation condition, please see the datasheet)</t>
        </r>
      </text>
    </comment>
    <comment ref="G182" authorId="0">
      <text>
        <r>
          <rPr>
            <sz val="10"/>
            <rFont val="Arial"/>
            <family val="2"/>
          </rPr>
          <t>TC = 100°C</t>
        </r>
      </text>
    </comment>
    <comment ref="H182" authorId="0">
      <text>
        <r>
          <rPr>
            <sz val="10"/>
            <rFont val="Arial"/>
            <family val="2"/>
          </rPr>
          <t>VGE = 15 V , IC = 15 A</t>
        </r>
      </text>
    </comment>
    <comment ref="G183" authorId="0">
      <text>
        <r>
          <rPr>
            <sz val="10"/>
            <rFont val="Arial"/>
            <family val="2"/>
          </rPr>
          <t>TC = 100°C</t>
        </r>
      </text>
    </comment>
    <comment ref="H183" authorId="0">
      <text>
        <r>
          <rPr>
            <sz val="10"/>
            <rFont val="Arial"/>
            <family val="2"/>
          </rPr>
          <t>VGE = 15 V , IC = 15 A</t>
        </r>
      </text>
    </comment>
    <comment ref="G184" authorId="0">
      <text>
        <r>
          <rPr>
            <sz val="10"/>
            <rFont val="Arial"/>
            <family val="2"/>
          </rPr>
          <t>TC = 100°C</t>
        </r>
      </text>
    </comment>
    <comment ref="H184" authorId="0">
      <text>
        <r>
          <rPr>
            <sz val="10"/>
            <rFont val="Arial"/>
            <family val="2"/>
          </rPr>
          <t>VGE = 15 V , IC = 15 A</t>
        </r>
      </text>
    </comment>
    <comment ref="G185" authorId="0">
      <text>
        <r>
          <rPr>
            <sz val="10"/>
            <rFont val="Arial"/>
            <family val="2"/>
          </rPr>
          <t>Tc=100°C</t>
        </r>
      </text>
    </comment>
    <comment ref="H185" authorId="0">
      <text>
        <r>
          <rPr>
            <sz val="10"/>
            <rFont val="Arial"/>
            <family val="2"/>
          </rPr>
          <t>VGE=15V, IC=15A, Tc=25°C</t>
        </r>
      </text>
    </comment>
    <comment ref="N185" authorId="0">
      <text>
        <r>
          <rPr>
            <sz val="10"/>
            <rFont val="Arial"/>
            <family val="2"/>
          </rPr>
          <t>VCE=300V, VGE=15V, Ic=15A</t>
        </r>
      </text>
    </comment>
    <comment ref="Q185" authorId="0">
      <text>
        <r>
          <rPr>
            <sz val="10"/>
            <rFont val="Arial"/>
            <family val="2"/>
          </rPr>
          <t>Tc=25°C (Under our ideal power dissipation, please see the datasheet)</t>
        </r>
      </text>
    </comment>
    <comment ref="G186" authorId="0">
      <text>
        <r>
          <rPr>
            <sz val="10"/>
            <rFont val="Arial"/>
            <family val="2"/>
          </rPr>
          <t>TC = 100°C</t>
        </r>
      </text>
    </comment>
    <comment ref="H186" authorId="0">
      <text>
        <r>
          <rPr>
            <sz val="10"/>
            <rFont val="Arial"/>
            <family val="2"/>
          </rPr>
          <t>VGE = 15 V , IC = 15 A</t>
        </r>
      </text>
    </comment>
    <comment ref="G187" authorId="0">
      <text>
        <r>
          <rPr>
            <sz val="10"/>
            <rFont val="Arial"/>
            <family val="2"/>
          </rPr>
          <t>TC = 100°C</t>
        </r>
      </text>
    </comment>
    <comment ref="H187" authorId="0">
      <text>
        <r>
          <rPr>
            <sz val="10"/>
            <rFont val="Arial"/>
            <family val="2"/>
          </rPr>
          <t>VGE = 15 V , IC = 20 A</t>
        </r>
      </text>
    </comment>
    <comment ref="G188" authorId="0">
      <text>
        <r>
          <rPr>
            <sz val="10"/>
            <rFont val="Arial"/>
            <family val="2"/>
          </rPr>
          <t>TC = 100°C</t>
        </r>
      </text>
    </comment>
    <comment ref="H188" authorId="0">
      <text>
        <r>
          <rPr>
            <sz val="10"/>
            <rFont val="Arial"/>
            <family val="2"/>
          </rPr>
          <t>VGE = 15 V , IC = 20 A</t>
        </r>
      </text>
    </comment>
    <comment ref="G189" authorId="0">
      <text>
        <r>
          <rPr>
            <sz val="10"/>
            <rFont val="Arial"/>
            <family val="2"/>
          </rPr>
          <t>Tc=100°C</t>
        </r>
      </text>
    </comment>
    <comment ref="H189" authorId="0">
      <text>
        <r>
          <rPr>
            <sz val="10"/>
            <rFont val="Arial"/>
            <family val="2"/>
          </rPr>
          <t>IC=20A, VGE=15V, Tc=25°C</t>
        </r>
      </text>
    </comment>
    <comment ref="N189" authorId="0">
      <text>
        <r>
          <rPr>
            <sz val="10"/>
            <rFont val="Arial"/>
            <family val="2"/>
          </rPr>
          <t>VCE=300V, VGE=15V, Ic=20A</t>
        </r>
      </text>
    </comment>
    <comment ref="Q189" authorId="0">
      <text>
        <r>
          <rPr>
            <sz val="10"/>
            <rFont val="Arial"/>
            <family val="2"/>
          </rPr>
          <t>Tc=25°C  (Under our ideal power dissipation, please see the datasheet)</t>
        </r>
      </text>
    </comment>
    <comment ref="G190" authorId="0">
      <text>
        <r>
          <rPr>
            <sz val="10"/>
            <rFont val="Arial"/>
            <family val="2"/>
          </rPr>
          <t>TC = 100°C</t>
        </r>
      </text>
    </comment>
    <comment ref="H190" authorId="0">
      <text>
        <r>
          <rPr>
            <sz val="10"/>
            <rFont val="Arial"/>
            <family val="2"/>
          </rPr>
          <t>VGE = 15 V , IC = 25 A</t>
        </r>
      </text>
    </comment>
    <comment ref="G192" authorId="0">
      <text>
        <r>
          <rPr>
            <sz val="10"/>
            <rFont val="Arial"/>
            <family val="2"/>
          </rPr>
          <t>TC = 100°C</t>
        </r>
      </text>
    </comment>
    <comment ref="H192" authorId="0">
      <text>
        <r>
          <rPr>
            <sz val="10"/>
            <rFont val="Arial"/>
            <family val="2"/>
          </rPr>
          <t>VGE = 15 V , IC = 30 A</t>
        </r>
      </text>
    </comment>
    <comment ref="G193" authorId="0">
      <text>
        <r>
          <rPr>
            <sz val="10"/>
            <rFont val="Arial"/>
            <family val="2"/>
          </rPr>
          <t>TC = 100°C</t>
        </r>
      </text>
    </comment>
    <comment ref="H193" authorId="0">
      <text>
        <r>
          <rPr>
            <sz val="10"/>
            <rFont val="Arial"/>
            <family val="2"/>
          </rPr>
          <t>VGE = 15 V , IC = 30 A</t>
        </r>
      </text>
    </comment>
    <comment ref="G195" authorId="0">
      <text>
        <r>
          <rPr>
            <sz val="10"/>
            <rFont val="Arial"/>
            <family val="2"/>
          </rPr>
          <t>TC=100°C</t>
        </r>
      </text>
    </comment>
    <comment ref="H195" authorId="0">
      <text>
        <r>
          <rPr>
            <sz val="10"/>
            <rFont val="Arial"/>
            <family val="2"/>
          </rPr>
          <t>VGE=15V, IC=30A, Tc=25°C</t>
        </r>
      </text>
    </comment>
    <comment ref="J195" authorId="0">
      <text>
        <r>
          <rPr>
            <sz val="10"/>
            <rFont val="Arial"/>
            <family val="2"/>
          </rPr>
          <t>VCC=300V, Ic=30A</t>
        </r>
      </text>
    </comment>
    <comment ref="K195" authorId="0">
      <text>
        <r>
          <rPr>
            <sz val="10"/>
            <rFont val="Arial"/>
            <family val="2"/>
          </rPr>
          <t>VCC=300V, Ic=30A</t>
        </r>
      </text>
    </comment>
    <comment ref="N195" authorId="0">
      <text>
        <r>
          <rPr>
            <sz val="10"/>
            <rFont val="Arial"/>
            <family val="2"/>
          </rPr>
          <t>VCE=300V, VGE=15V, Ic=30A</t>
        </r>
      </text>
    </comment>
    <comment ref="Q195" authorId="0">
      <text>
        <r>
          <rPr>
            <sz val="10"/>
            <rFont val="Arial"/>
            <family val="2"/>
          </rPr>
          <t>Tc=25°C(Under our ideal dissipation condition, see the datasheet)</t>
        </r>
      </text>
    </comment>
    <comment ref="G196" authorId="0">
      <text>
        <r>
          <rPr>
            <sz val="10"/>
            <rFont val="Arial"/>
            <family val="2"/>
          </rPr>
          <t>TC = 100°C</t>
        </r>
      </text>
    </comment>
    <comment ref="H196" authorId="0">
      <text>
        <r>
          <rPr>
            <sz val="10"/>
            <rFont val="Arial"/>
            <family val="2"/>
          </rPr>
          <t>VGE = 15 V , IC = 30 A</t>
        </r>
      </text>
    </comment>
    <comment ref="G197" authorId="0">
      <text>
        <r>
          <rPr>
            <sz val="10"/>
            <rFont val="Arial"/>
            <family val="2"/>
          </rPr>
          <t>TC = 100°C</t>
        </r>
      </text>
    </comment>
    <comment ref="H197" authorId="0">
      <text>
        <r>
          <rPr>
            <sz val="10"/>
            <rFont val="Arial"/>
            <family val="2"/>
          </rPr>
          <t>VGE = 15 V , IC = 35 A</t>
        </r>
      </text>
    </comment>
    <comment ref="G198" authorId="0">
      <text>
        <r>
          <rPr>
            <sz val="10"/>
            <rFont val="Arial"/>
            <family val="2"/>
          </rPr>
          <t>TC = 100°C</t>
        </r>
      </text>
    </comment>
    <comment ref="H198" authorId="0">
      <text>
        <r>
          <rPr>
            <sz val="10"/>
            <rFont val="Arial"/>
            <family val="2"/>
          </rPr>
          <t>VGE = 15 V , IC = 35 A</t>
        </r>
      </text>
    </comment>
    <comment ref="G199" authorId="0">
      <text>
        <r>
          <rPr>
            <sz val="10"/>
            <rFont val="Arial"/>
            <family val="2"/>
          </rPr>
          <t>TC = 100°C</t>
        </r>
      </text>
    </comment>
    <comment ref="H199" authorId="0">
      <text>
        <r>
          <rPr>
            <sz val="10"/>
            <rFont val="Arial"/>
            <family val="2"/>
          </rPr>
          <t>vge = 15V, IC = 40A</t>
        </r>
      </text>
    </comment>
    <comment ref="G202" authorId="0">
      <text>
        <r>
          <rPr>
            <sz val="10"/>
            <rFont val="Arial"/>
            <family val="2"/>
          </rPr>
          <t>TC = 100°C</t>
        </r>
      </text>
    </comment>
    <comment ref="H202" authorId="0">
      <text>
        <r>
          <rPr>
            <sz val="10"/>
            <rFont val="Arial"/>
            <family val="2"/>
          </rPr>
          <t>VGE = 15 V , IC = 40 A</t>
        </r>
      </text>
    </comment>
    <comment ref="G205" authorId="0">
      <text>
        <r>
          <rPr>
            <sz val="10"/>
            <rFont val="Arial"/>
            <family val="2"/>
          </rPr>
          <t>TC = 100°C</t>
        </r>
      </text>
    </comment>
    <comment ref="H205" authorId="0">
      <text>
        <r>
          <rPr>
            <sz val="10"/>
            <rFont val="Arial"/>
            <family val="2"/>
          </rPr>
          <t>VGE = 15 V , IC = 40 A</t>
        </r>
      </text>
    </comment>
    <comment ref="G206" authorId="0">
      <text>
        <r>
          <rPr>
            <sz val="10"/>
            <rFont val="Arial"/>
            <family val="2"/>
          </rPr>
          <t>TC = 100°C</t>
        </r>
      </text>
    </comment>
    <comment ref="H206" authorId="0">
      <text>
        <r>
          <rPr>
            <sz val="10"/>
            <rFont val="Arial"/>
            <family val="2"/>
          </rPr>
          <t>VGE = 15 V , IC = 40 A</t>
        </r>
      </text>
    </comment>
    <comment ref="G207" authorId="0">
      <text>
        <r>
          <rPr>
            <sz val="10"/>
            <rFont val="Arial"/>
            <family val="2"/>
          </rPr>
          <t>TC = 100°C</t>
        </r>
      </text>
    </comment>
    <comment ref="H207" authorId="0">
      <text>
        <r>
          <rPr>
            <sz val="10"/>
            <rFont val="Arial"/>
            <family val="2"/>
          </rPr>
          <t>VGE = 15 V , IC = 40 A</t>
        </r>
      </text>
    </comment>
    <comment ref="G208" authorId="0">
      <text>
        <r>
          <rPr>
            <sz val="10"/>
            <rFont val="Arial"/>
            <family val="2"/>
          </rPr>
          <t>TC = 100°C</t>
        </r>
      </text>
    </comment>
    <comment ref="H208" authorId="0">
      <text>
        <r>
          <rPr>
            <sz val="10"/>
            <rFont val="Arial"/>
            <family val="2"/>
          </rPr>
          <t>VGE = 15 V , IC = 40 A</t>
        </r>
      </text>
    </comment>
    <comment ref="G209" authorId="0">
      <text>
        <r>
          <rPr>
            <sz val="10"/>
            <rFont val="Arial"/>
            <family val="2"/>
          </rPr>
          <t>TC = 100°C</t>
        </r>
      </text>
    </comment>
    <comment ref="H209" authorId="0">
      <text>
        <r>
          <rPr>
            <sz val="10"/>
            <rFont val="Arial"/>
            <family val="2"/>
          </rPr>
          <t>VGE = 15 V , IC = 50 A</t>
        </r>
      </text>
    </comment>
    <comment ref="G210" authorId="0">
      <text>
        <r>
          <rPr>
            <sz val="10"/>
            <rFont val="Arial"/>
            <family val="2"/>
          </rPr>
          <t>TC = 100°C</t>
        </r>
      </text>
    </comment>
    <comment ref="H210" authorId="0">
      <text>
        <r>
          <rPr>
            <sz val="10"/>
            <rFont val="Arial"/>
            <family val="2"/>
          </rPr>
          <t>VGE = 15 V , IC = 50 A</t>
        </r>
      </text>
    </comment>
    <comment ref="G211" authorId="0">
      <text>
        <r>
          <rPr>
            <sz val="10"/>
            <rFont val="Arial"/>
            <family val="2"/>
          </rPr>
          <t>TC = 100°C</t>
        </r>
      </text>
    </comment>
    <comment ref="H211" authorId="0">
      <text>
        <r>
          <rPr>
            <sz val="10"/>
            <rFont val="Arial"/>
            <family val="2"/>
          </rPr>
          <t>VGE = 15 V , IC = 50 A</t>
        </r>
      </text>
    </comment>
    <comment ref="G214" authorId="0">
      <text>
        <r>
          <rPr>
            <sz val="10"/>
            <rFont val="Arial"/>
            <family val="2"/>
          </rPr>
          <t>TC = 100°C</t>
        </r>
      </text>
    </comment>
    <comment ref="H214" authorId="0">
      <text>
        <r>
          <rPr>
            <sz val="10"/>
            <rFont val="Arial"/>
            <family val="2"/>
          </rPr>
          <t>VGE = 15 V , IC = 75 A</t>
        </r>
      </text>
    </comment>
    <comment ref="I215" authorId="0">
      <text>
        <r>
          <rPr>
            <sz val="10"/>
            <rFont val="Arial"/>
            <family val="2"/>
          </rPr>
          <t>IF = 25A Tj = 25C</t>
        </r>
      </text>
    </comment>
    <comment ref="H216" authorId="0">
      <text>
        <r>
          <rPr>
            <sz val="10"/>
            <rFont val="Arial"/>
            <family val="2"/>
          </rPr>
          <t>VGE = 15 V, IC = 15 A</t>
        </r>
      </text>
    </comment>
    <comment ref="O216" authorId="0">
      <text>
        <r>
          <rPr>
            <sz val="10"/>
            <rFont val="Arial"/>
            <family val="2"/>
          </rPr>
          <t>VGE = 15V, VCE = 500V, Tj ≤ 150 OC</t>
        </r>
      </text>
    </comment>
    <comment ref="F217" authorId="0">
      <text>
        <r>
          <rPr>
            <sz val="10"/>
            <rFont val="Arial"/>
            <family val="2"/>
          </rPr>
          <t>VGE = 0 V, IC = 500 µA</t>
        </r>
      </text>
    </comment>
    <comment ref="H217" authorId="0">
      <text>
        <r>
          <rPr>
            <sz val="10"/>
            <rFont val="Arial"/>
            <family val="2"/>
          </rPr>
          <t>VGE = 15 V, IC = 30 A</t>
        </r>
      </text>
    </comment>
    <comment ref="O217" authorId="0">
      <text>
        <r>
          <rPr>
            <sz val="10"/>
            <rFont val="Arial"/>
            <family val="2"/>
          </rPr>
          <t>VGE = 15V, VCE = 400V, Tj ≤ 150 OC</t>
        </r>
      </text>
    </comment>
    <comment ref="H218" authorId="0">
      <text>
        <r>
          <rPr>
            <sz val="10"/>
            <rFont val="Arial"/>
            <family val="2"/>
          </rPr>
          <t>VGE = 15 V, IC = 35 A</t>
        </r>
      </text>
    </comment>
    <comment ref="I219" authorId="0">
      <text>
        <r>
          <rPr>
            <sz val="10"/>
            <rFont val="Arial"/>
            <family val="2"/>
          </rPr>
          <t>IF = 75A Tj = 25C</t>
        </r>
      </text>
    </comment>
    <comment ref="I220" authorId="0">
      <text>
        <r>
          <rPr>
            <sz val="10"/>
            <rFont val="Arial"/>
            <family val="2"/>
          </rPr>
          <t>IF = 35A Tj = 25C</t>
        </r>
      </text>
    </comment>
    <comment ref="H221" authorId="0">
      <text>
        <r>
          <rPr>
            <sz val="10"/>
            <rFont val="Arial"/>
            <family val="2"/>
          </rPr>
          <t>VGE = 15 V, IC = 40 A</t>
        </r>
      </text>
    </comment>
    <comment ref="O221" authorId="0">
      <text>
        <r>
          <rPr>
            <sz val="10"/>
            <rFont val="Arial"/>
            <family val="2"/>
          </rPr>
          <t>VGE = 15V, VCE = 400V, Tj ≤ 150 OC</t>
        </r>
      </text>
    </comment>
    <comment ref="H222" authorId="0">
      <text>
        <r>
          <rPr>
            <sz val="10"/>
            <rFont val="Arial"/>
            <family val="2"/>
          </rPr>
          <t>VGE = 15 V, IC = 20 A</t>
        </r>
      </text>
    </comment>
    <comment ref="O222" authorId="0">
      <text>
        <r>
          <rPr>
            <sz val="10"/>
            <rFont val="Arial"/>
            <family val="2"/>
          </rPr>
          <t>VGE = 15V, VCE = 500V, Tj ≤ 150 OC</t>
        </r>
      </text>
    </comment>
    <comment ref="H223" authorId="0">
      <text>
        <r>
          <rPr>
            <sz val="10"/>
            <rFont val="Arial"/>
            <family val="2"/>
          </rPr>
          <t>VGE = 15 V, IC = 45 A</t>
        </r>
      </text>
    </comment>
    <comment ref="O223" authorId="0">
      <text>
        <r>
          <rPr>
            <sz val="10"/>
            <rFont val="Arial"/>
            <family val="2"/>
          </rPr>
          <t>VGE = 15V, VCE = 600V, Tj ≤ 150 OC</t>
        </r>
      </text>
    </comment>
    <comment ref="F224" authorId="0">
      <text>
        <r>
          <rPr>
            <sz val="10"/>
            <rFont val="Arial"/>
            <family val="2"/>
          </rPr>
          <t>VGE = 0 V, IC = 500 µA</t>
        </r>
      </text>
    </comment>
    <comment ref="H224" authorId="0">
      <text>
        <r>
          <rPr>
            <sz val="10"/>
            <rFont val="Arial"/>
            <family val="2"/>
          </rPr>
          <t>VGE = 15 V, IC = 25 A</t>
        </r>
      </text>
    </comment>
    <comment ref="O224" authorId="0">
      <text>
        <r>
          <rPr>
            <sz val="10"/>
            <rFont val="Arial"/>
            <family val="2"/>
          </rPr>
          <t>VGE = 15V, VCE = 500V, Tj ≤ 150 OC</t>
        </r>
      </text>
    </comment>
    <comment ref="H225" authorId="0">
      <text>
        <r>
          <rPr>
            <sz val="10"/>
            <rFont val="Arial"/>
            <family val="2"/>
          </rPr>
          <t>VGE = 15 V, IC = 75 A</t>
        </r>
      </text>
    </comment>
    <comment ref="O225" authorId="0">
      <text>
        <r>
          <rPr>
            <sz val="10"/>
            <rFont val="Arial"/>
            <family val="2"/>
          </rPr>
          <t>VGE = 15V, VCE = 400V, Tj ≤ 150 OC</t>
        </r>
      </text>
    </comment>
    <comment ref="F226" authorId="0">
      <text>
        <r>
          <rPr>
            <sz val="10"/>
            <rFont val="Arial"/>
            <family val="2"/>
          </rPr>
          <t>VGE = 0 V, IC = 500 µA</t>
        </r>
      </text>
    </comment>
    <comment ref="H226" authorId="0">
      <text>
        <r>
          <rPr>
            <sz val="10"/>
            <rFont val="Arial"/>
            <family val="2"/>
          </rPr>
          <t>VGE = 15 V, IC = 40 A</t>
        </r>
      </text>
    </comment>
    <comment ref="O226" authorId="0">
      <text>
        <r>
          <rPr>
            <sz val="10"/>
            <rFont val="Arial"/>
            <family val="2"/>
          </rPr>
          <t>VGE = 15V, VCE = 500V, Tj ≤ 150 OC</t>
        </r>
      </text>
    </comment>
    <comment ref="I227" authorId="0">
      <text>
        <r>
          <rPr>
            <sz val="10"/>
            <rFont val="Arial"/>
            <family val="2"/>
          </rPr>
          <t>IF = 20A Tj = 25C</t>
        </r>
      </text>
    </comment>
    <comment ref="I228" authorId="0">
      <text>
        <r>
          <rPr>
            <sz val="10"/>
            <rFont val="Arial"/>
            <family val="2"/>
          </rPr>
          <t>IF = 30A Tj = 25C</t>
        </r>
      </text>
    </comment>
    <comment ref="I229" authorId="0">
      <text>
        <r>
          <rPr>
            <sz val="10"/>
            <rFont val="Arial"/>
            <family val="2"/>
          </rPr>
          <t>IF = 15A Tj = 25C</t>
        </r>
      </text>
    </comment>
    <comment ref="G230" authorId="0">
      <text>
        <r>
          <rPr>
            <sz val="10"/>
            <rFont val="Arial"/>
            <family val="2"/>
          </rPr>
          <t>Tc=100°C</t>
        </r>
      </text>
    </comment>
    <comment ref="H230" authorId="0">
      <text>
        <r>
          <rPr>
            <sz val="10"/>
            <rFont val="Arial"/>
            <family val="2"/>
          </rPr>
          <t>VGE=15V, IC=12A, Tc=25°C</t>
        </r>
      </text>
    </comment>
    <comment ref="Q230" authorId="0">
      <text>
        <r>
          <rPr>
            <sz val="10"/>
            <rFont val="Arial"/>
            <family val="2"/>
          </rPr>
          <t>Tc=25°C (Under our ideal power dissipation, please see the datasheet)</t>
        </r>
      </text>
    </comment>
    <comment ref="G231" authorId="0">
      <text>
        <r>
          <rPr>
            <sz val="10"/>
            <rFont val="Arial"/>
            <family val="2"/>
          </rPr>
          <t>TC = 100°C</t>
        </r>
      </text>
    </comment>
    <comment ref="H231" authorId="0">
      <text>
        <r>
          <rPr>
            <sz val="10"/>
            <rFont val="Arial"/>
            <family val="2"/>
          </rPr>
          <t>VGE = 15 V , IC = 15 A</t>
        </r>
      </text>
    </comment>
    <comment ref="G232" authorId="0">
      <text>
        <r>
          <rPr>
            <sz val="10"/>
            <rFont val="Arial"/>
            <family val="2"/>
          </rPr>
          <t>TC = 100°C</t>
        </r>
      </text>
    </comment>
    <comment ref="H232" authorId="0">
      <text>
        <r>
          <rPr>
            <sz val="10"/>
            <rFont val="Arial"/>
            <family val="2"/>
          </rPr>
          <t>VGE = 15 V , IC = 15 A</t>
        </r>
      </text>
    </comment>
    <comment ref="G233" authorId="0">
      <text>
        <r>
          <rPr>
            <sz val="10"/>
            <rFont val="Arial"/>
            <family val="2"/>
          </rPr>
          <t>Tc=100°C</t>
        </r>
      </text>
    </comment>
    <comment ref="H233" authorId="0">
      <text>
        <r>
          <rPr>
            <sz val="10"/>
            <rFont val="Arial"/>
            <family val="2"/>
          </rPr>
          <t>VGE=15V, Ic=20A, Tc=25°C</t>
        </r>
      </text>
    </comment>
    <comment ref="N233" authorId="0">
      <text>
        <r>
          <rPr>
            <sz val="10"/>
            <rFont val="Arial"/>
            <family val="2"/>
          </rPr>
          <t>VCE=300V, VGE=15V, Ic=20A</t>
        </r>
      </text>
    </comment>
    <comment ref="Q233" authorId="0">
      <text>
        <r>
          <rPr>
            <sz val="10"/>
            <rFont val="Arial"/>
            <family val="2"/>
          </rPr>
          <t>Tc=25°C  (Under our ideal power dissipation, please see the datasheet)</t>
        </r>
      </text>
    </comment>
    <comment ref="G234" authorId="0">
      <text>
        <r>
          <rPr>
            <sz val="10"/>
            <rFont val="Arial"/>
            <family val="2"/>
          </rPr>
          <t>TC = 100°C</t>
        </r>
      </text>
    </comment>
    <comment ref="H234" authorId="0">
      <text>
        <r>
          <rPr>
            <sz val="10"/>
            <rFont val="Arial"/>
            <family val="2"/>
          </rPr>
          <t>VGE = 15 V , IC = 25 A</t>
        </r>
      </text>
    </comment>
    <comment ref="G235" authorId="0">
      <text>
        <r>
          <rPr>
            <sz val="10"/>
            <rFont val="Arial"/>
            <family val="2"/>
          </rPr>
          <t>TC = 100°C</t>
        </r>
      </text>
    </comment>
    <comment ref="H235" authorId="0">
      <text>
        <r>
          <rPr>
            <sz val="10"/>
            <rFont val="Arial"/>
            <family val="2"/>
          </rPr>
          <t>VGE = 15 V , IC = 35 A</t>
        </r>
      </text>
    </comment>
    <comment ref="G236" authorId="0">
      <text>
        <r>
          <rPr>
            <sz val="10"/>
            <rFont val="Arial"/>
            <family val="2"/>
          </rPr>
          <t>TC = 100°C</t>
        </r>
      </text>
    </comment>
    <comment ref="H236" authorId="0">
      <text>
        <r>
          <rPr>
            <sz val="10"/>
            <rFont val="Arial"/>
            <family val="2"/>
          </rPr>
          <t>VGE = 15 V , IC = 40 A</t>
        </r>
      </text>
    </comment>
    <comment ref="G238" authorId="0">
      <text>
        <r>
          <rPr>
            <sz val="10"/>
            <rFont val="Arial"/>
            <family val="2"/>
          </rPr>
          <t>T&lt;sub&gt;C &lt;/sub&gt;= 100°C</t>
        </r>
      </text>
    </comment>
    <comment ref="H238" authorId="0">
      <text>
        <r>
          <rPr>
            <sz val="10"/>
            <rFont val="Arial"/>
            <family val="2"/>
          </rPr>
          <t>I&lt;sub&gt;C&lt;/sub&gt; = 40 A, V&lt;sub&gt;GE &lt;/sub&gt;= 15 V, T&lt;sub&gt;C&lt;/sub&gt; = 25 °C</t>
        </r>
      </text>
    </comment>
    <comment ref="G239" authorId="0">
      <text>
        <r>
          <rPr>
            <sz val="10"/>
            <rFont val="Arial"/>
            <family val="2"/>
          </rPr>
          <t>T&lt;sub&gt;C &lt;/sub&gt;= 100°C</t>
        </r>
      </text>
    </comment>
    <comment ref="H239" authorId="0">
      <text>
        <r>
          <rPr>
            <sz val="10"/>
            <rFont val="Arial"/>
            <family val="2"/>
          </rPr>
          <t>I&lt;sub&gt;C&lt;/sub&gt; = 50 A, V&lt;sub&gt;GE&lt;/sub&gt; = 15 V, T&lt;sub&gt;C&lt;/sub&gt; = 25 °C</t>
        </r>
      </text>
    </comment>
    <comment ref="N239" authorId="0">
      <text>
        <r>
          <rPr>
            <sz val="10"/>
            <rFont val="Arial"/>
            <family val="2"/>
          </rPr>
          <t>V&lt;sub&gt;CE &lt;/sub&gt;= 400 V, I&lt;sub&gt;C &lt;/sub&gt;= 50 A,  V&lt;sub&gt;GE&lt;/sub&gt; = 15 V, T&lt;sub&gt;C&lt;/sub&gt; = 25°C</t>
        </r>
      </text>
    </comment>
    <comment ref="G244" authorId="0">
      <text>
        <r>
          <rPr>
            <sz val="10"/>
            <rFont val="Arial"/>
            <family val="2"/>
          </rPr>
          <t>T&lt;sub&gt;C&lt;/sub&gt;=100°C</t>
        </r>
      </text>
    </comment>
    <comment ref="H244" authorId="0">
      <text>
        <r>
          <rPr>
            <sz val="10"/>
            <rFont val="Arial"/>
            <family val="2"/>
          </rPr>
          <t>I&lt;sub&gt;C&lt;/sub&gt; = 60 A, V&lt;sub&gt;GE&lt;/sub&gt; = 15 V, T&lt;sub&gt;J&lt;/sub&gt;=25°C</t>
        </r>
      </text>
    </comment>
    <comment ref="N244" authorId="0">
      <text>
        <r>
          <rPr>
            <sz val="10"/>
            <rFont val="Arial"/>
            <family val="2"/>
          </rPr>
          <t>V&lt;sub&gt;CE&lt;/sub&gt; = 400 V, I&lt;sub&gt;C&lt;/sub&gt; = 75 A,  V&lt;sub&gt;GE&lt;/sub&gt; = 15 V</t>
        </r>
      </text>
    </comment>
    <comment ref="F262" authorId="0">
      <text>
        <r>
          <rPr>
            <sz val="10"/>
            <rFont val="Arial"/>
            <family val="2"/>
          </rPr>
          <t>IC=2mA, VGE=0V</t>
        </r>
      </text>
    </comment>
    <comment ref="G262" authorId="0">
      <text>
        <r>
          <rPr>
            <sz val="10"/>
            <rFont val="Arial"/>
            <family val="2"/>
          </rPr>
          <t>VGE=15V, CM=2000µF</t>
        </r>
      </text>
    </comment>
    <comment ref="H262" authorId="0">
      <text>
        <r>
          <rPr>
            <sz val="10"/>
            <rFont val="Arial"/>
            <family val="2"/>
          </rPr>
          <t>IC=240A, VGE=15V</t>
        </r>
      </text>
    </comment>
    <comment ref="Q262" authorId="0">
      <text>
        <r>
          <rPr>
            <sz val="10"/>
            <rFont val="Arial"/>
            <family val="2"/>
          </rPr>
          <t>Tc=25¿¿</t>
        </r>
      </text>
    </comment>
    <comment ref="F263" authorId="0">
      <text>
        <r>
          <rPr>
            <sz val="10"/>
            <rFont val="Arial"/>
            <family val="2"/>
          </rPr>
          <t>I&lt;sub&gt;C&lt;/sub&gt;=2.0 mA; V&lt;sub&gt;GE&lt;/sub&gt;=0 V</t>
        </r>
      </text>
    </comment>
    <comment ref="G263" authorId="0">
      <text>
        <r>
          <rPr>
            <sz val="10"/>
            <rFont val="Arial"/>
            <family val="2"/>
          </rPr>
          <t>VGE=4V,CM=150µF</t>
        </r>
      </text>
    </comment>
    <comment ref="H263" authorId="0">
      <text>
        <r>
          <rPr>
            <sz val="10"/>
            <rFont val="Arial"/>
            <family val="2"/>
          </rPr>
          <t>I&lt;sub&gt;C&lt;/sub&gt;=100 A; V&lt;sub&gt;GE&lt;/sub&gt;=4.0 V</t>
        </r>
      </text>
    </comment>
    <comment ref="G264" authorId="0">
      <text>
        <r>
          <rPr>
            <sz val="10"/>
            <rFont val="Arial"/>
            <family val="2"/>
          </rPr>
          <t>VCE=2.5V,CM=100uP</t>
        </r>
      </text>
    </comment>
    <comment ref="F265" authorId="0">
      <text>
        <r>
          <rPr>
            <sz val="10"/>
            <rFont val="Arial"/>
            <family val="2"/>
          </rPr>
          <t>IC=2mA, VGE=0V (min.)</t>
        </r>
      </text>
    </comment>
    <comment ref="G265" authorId="0">
      <text>
        <r>
          <rPr>
            <sz val="10"/>
            <rFont val="Arial"/>
            <family val="2"/>
          </rPr>
          <t>CM=600µF</t>
        </r>
      </text>
    </comment>
    <comment ref="H265" authorId="0">
      <text>
        <r>
          <rPr>
            <sz val="10"/>
            <rFont val="Arial"/>
            <family val="2"/>
          </rPr>
          <t>IC=150A, VGE=4V</t>
        </r>
      </text>
    </comment>
    <comment ref="Q265" authorId="0">
      <text>
        <r>
          <rPr>
            <sz val="10"/>
            <rFont val="Arial"/>
            <family val="2"/>
          </rPr>
          <t xml:space="preserve">When mounted on RF4 substrate (11,680mm2×1.6mm) </t>
        </r>
      </text>
    </comment>
    <comment ref="G266" authorId="0">
      <text>
        <r>
          <rPr>
            <sz val="10"/>
            <rFont val="Arial"/>
            <family val="2"/>
          </rPr>
          <t>VGE=2.5V, CM=200µF</t>
        </r>
      </text>
    </comment>
    <comment ref="H266" authorId="0">
      <text>
        <r>
          <rPr>
            <sz val="10"/>
            <rFont val="Arial"/>
            <family val="2"/>
          </rPr>
          <t>IC=100A, VGE=2.5V</t>
        </r>
      </text>
    </comment>
  </commentList>
</comments>
</file>

<file path=xl/sharedStrings.xml><?xml version="1.0" encoding="utf-8"?>
<sst xmlns="http://schemas.openxmlformats.org/spreadsheetml/2006/main" count="4524" uniqueCount="741">
  <si>
    <t>Product</t>
  </si>
  <si>
    <t>Datasheet</t>
  </si>
  <si>
    <t>Description</t>
  </si>
  <si>
    <t>Compliance</t>
  </si>
  <si>
    <t>Status</t>
  </si>
  <si>
    <t>V(BR)CES Typ (V)</t>
  </si>
  <si>
    <t>IC Max (A)</t>
  </si>
  <si>
    <t>VCE(sat) Typ (V)</t>
  </si>
  <si>
    <t>VF Typ (V)</t>
  </si>
  <si>
    <t>Eoff Typ (mJ)</t>
  </si>
  <si>
    <t>Eon Typ (mJ)</t>
  </si>
  <si>
    <t>Trr Typ (ns)</t>
  </si>
  <si>
    <t>Irr Typ (A)</t>
  </si>
  <si>
    <t>Gate Charge Typ (nC)</t>
  </si>
  <si>
    <t>Short Circuit Withstand (µs)</t>
  </si>
  <si>
    <t>EAS Typ (mJ)</t>
  </si>
  <si>
    <t>PD Max (W)</t>
  </si>
  <si>
    <t>Co-Packaged Diode</t>
  </si>
  <si>
    <t>Package Type</t>
  </si>
  <si>
    <t>IGBT, 650 V, 20A Field Stop Trench</t>
  </si>
  <si>
    <t>Pb-free</t>
  </si>
  <si>
    <t>ActiveNEW</t>
  </si>
  <si>
    <t>650</t>
  </si>
  <si>
    <t>20</t>
  </si>
  <si>
    <t>1.4</t>
  </si>
  <si>
    <t>1.3</t>
  </si>
  <si>
    <t>0.056</t>
  </si>
  <si>
    <t>0.2</t>
  </si>
  <si>
    <t>235</t>
  </si>
  <si>
    <t/>
  </si>
  <si>
    <t>38</t>
  </si>
  <si>
    <t>75</t>
  </si>
  <si>
    <t>No</t>
  </si>
  <si>
    <t>TO-3PF-3L</t>
  </si>
  <si>
    <t>IGBT, 650 V,30A Field Stop Trench</t>
  </si>
  <si>
    <t>30</t>
  </si>
  <si>
    <t>0.082</t>
  </si>
  <si>
    <t>0.295</t>
  </si>
  <si>
    <t>267</t>
  </si>
  <si>
    <t>58</t>
  </si>
  <si>
    <t>83</t>
  </si>
  <si>
    <t>IGBT, EcoSPARK® 3 270mJ, 360V, N-Channel Ignition</t>
  </si>
  <si>
    <t>AEC Qualified
PPAP Capable
Pb-free
Halide free</t>
  </si>
  <si>
    <t>360</t>
  </si>
  <si>
    <t>18</t>
  </si>
  <si>
    <t>1.65</t>
  </si>
  <si>
    <t>-</t>
  </si>
  <si>
    <t>3000</t>
  </si>
  <si>
    <t>150</t>
  </si>
  <si>
    <t>DPAK-3</t>
  </si>
  <si>
    <t>IGBT - 650 V 75 A FS4 medium switching speed IGBT</t>
  </si>
  <si>
    <t>Pb-free
Halide free</t>
  </si>
  <si>
    <t>650 V</t>
  </si>
  <si>
    <t>75 A</t>
  </si>
  <si>
    <t>1.45 V</t>
  </si>
  <si>
    <t>2.3 V</t>
  </si>
  <si>
    <t>1.55 mJ</t>
  </si>
  <si>
    <t>1.94 mJ</t>
  </si>
  <si>
    <t>36 ns</t>
  </si>
  <si>
    <t>250 µA</t>
  </si>
  <si>
    <t>145 nC</t>
  </si>
  <si>
    <t>NA</t>
  </si>
  <si>
    <t>375 W</t>
  </si>
  <si>
    <t>Yes</t>
  </si>
  <si>
    <t>TO-247-3LD</t>
  </si>
  <si>
    <t>IGBT, N-Channel Ignition, DPAK, 17A, 1.58V, 300mJ &lt;BR&gt;EcoSPARK® I</t>
  </si>
  <si>
    <t>0.6</t>
  </si>
  <si>
    <t>400</t>
  </si>
  <si>
    <t>17</t>
  </si>
  <si>
    <t>1.6</t>
  </si>
  <si>
    <t>IGBT, 430V, 10A, 1.95V, 200mJ, DPAK&lt;BR&gt;EcoSPARK® I, N-Channel Ignition</t>
  </si>
  <si>
    <t>Product Preview</t>
  </si>
  <si>
    <t>IGBT, 360V, 17A, 1.58V, 300mJ, D2PAK&lt;BR&gt;EcoSPARK® I, N-Channel Ignition</t>
  </si>
  <si>
    <t>IGBT 650V FS4 High speed version for OBC application in D2PAK</t>
  </si>
  <si>
    <t>AEC Qualified
PPAP Capable
Pb-free</t>
  </si>
  <si>
    <t>Active</t>
  </si>
  <si>
    <t>1.5</t>
  </si>
  <si>
    <t>0.16</t>
  </si>
  <si>
    <t>0.786</t>
  </si>
  <si>
    <t>131</t>
  </si>
  <si>
    <t>56</t>
  </si>
  <si>
    <t>220</t>
  </si>
  <si>
    <t>D2PAK-3 / TO-263-2</t>
  </si>
  <si>
    <t>IGBT, 650V FS4 High speed version, for OBC application in D2pak</t>
  </si>
  <si>
    <t>40</t>
  </si>
  <si>
    <t>0.229</t>
  </si>
  <si>
    <t>0.858</t>
  </si>
  <si>
    <t>76</t>
  </si>
  <si>
    <t>238</t>
  </si>
  <si>
    <t>IGBT, 650V 40A in TO247 providing enhanced Final Test coverage for better and robuster performance.</t>
  </si>
  <si>
    <t>Hybrid IGBT, 650V, 50A Fieldstop 4 trench IGBT with SiC-SBD</t>
  </si>
  <si>
    <t>650V</t>
  </si>
  <si>
    <t>50A</t>
  </si>
  <si>
    <t>1.6V</t>
  </si>
  <si>
    <t>1.45V</t>
  </si>
  <si>
    <t>94</t>
  </si>
  <si>
    <t>IGBT, 1200V, 15A, NPT Trench</t>
  </si>
  <si>
    <t>1200</t>
  </si>
  <si>
    <t>1.7</t>
  </si>
  <si>
    <t>3</t>
  </si>
  <si>
    <t>27</t>
  </si>
  <si>
    <t>120</t>
  </si>
  <si>
    <t>186</t>
  </si>
  <si>
    <t>TO-3P-3L</t>
  </si>
  <si>
    <t>IGBT, 1250V, 15A, Shorted-anode</t>
  </si>
  <si>
    <t>1250</t>
  </si>
  <si>
    <t>15</t>
  </si>
  <si>
    <t>2.25</t>
  </si>
  <si>
    <t>2</t>
  </si>
  <si>
    <t>0.5</t>
  </si>
  <si>
    <t>0.74</t>
  </si>
  <si>
    <t>129</t>
  </si>
  <si>
    <t>136</t>
  </si>
  <si>
    <t>IGBT, 1200V, 20A, Field Stop Trench</t>
  </si>
  <si>
    <t>0.71</t>
  </si>
  <si>
    <t>0.42</t>
  </si>
  <si>
    <t>485</t>
  </si>
  <si>
    <t>48</t>
  </si>
  <si>
    <t>137</t>
  </si>
  <si>
    <t>298</t>
  </si>
  <si>
    <t>IGBT, 1250V, 20A, Shorted-anode</t>
  </si>
  <si>
    <t>1.75</t>
  </si>
  <si>
    <t>153</t>
  </si>
  <si>
    <t>250</t>
  </si>
  <si>
    <t>IGBT, 1400V, 20A, Shorted-anode</t>
  </si>
  <si>
    <t>1400</t>
  </si>
  <si>
    <t>1.9</t>
  </si>
  <si>
    <t>0.56</t>
  </si>
  <si>
    <t>0.76</t>
  </si>
  <si>
    <t>203.5</t>
  </si>
  <si>
    <t>272</t>
  </si>
  <si>
    <t>IGBT, 1200V, 25A, NPT Trench</t>
  </si>
  <si>
    <t>0.96</t>
  </si>
  <si>
    <t>4.1</t>
  </si>
  <si>
    <t>200</t>
  </si>
  <si>
    <t>312</t>
  </si>
  <si>
    <t>IGBT, 1250V, 25A, Shorted-anode</t>
  </si>
  <si>
    <t>2.1</t>
  </si>
  <si>
    <t>0.58</t>
  </si>
  <si>
    <t>1.085</t>
  </si>
  <si>
    <t>204</t>
  </si>
  <si>
    <t>IGBT, 600 V, 30 A Field Stop Trench</t>
  </si>
  <si>
    <t>600</t>
  </si>
  <si>
    <t>1.8</t>
  </si>
  <si>
    <t>0.165</t>
  </si>
  <si>
    <t>26</t>
  </si>
  <si>
    <t>37.4</t>
  </si>
  <si>
    <t>176</t>
  </si>
  <si>
    <t>IGBT, 1200V, 30A, Field Stop Trench</t>
  </si>
  <si>
    <t>1.16</t>
  </si>
  <si>
    <t>0.54</t>
  </si>
  <si>
    <t>775</t>
  </si>
  <si>
    <t>43</t>
  </si>
  <si>
    <t>208</t>
  </si>
  <si>
    <t>339</t>
  </si>
  <si>
    <t>IGBT, 650V, 30A, Field Stop</t>
  </si>
  <si>
    <t>1.98</t>
  </si>
  <si>
    <t>0.208</t>
  </si>
  <si>
    <t>0.716</t>
  </si>
  <si>
    <t>35</t>
  </si>
  <si>
    <t>87</t>
  </si>
  <si>
    <t>300</t>
  </si>
  <si>
    <t>IGBT, 1300V, 30A, Shorted-anode</t>
  </si>
  <si>
    <t>1300</t>
  </si>
  <si>
    <t>1.22</t>
  </si>
  <si>
    <t>78</t>
  </si>
  <si>
    <t>348</t>
  </si>
  <si>
    <t>IGBT, 650 V, 30 A Field Stop Trench</t>
  </si>
  <si>
    <t>2.2</t>
  </si>
  <si>
    <t>0.167</t>
  </si>
  <si>
    <t>0.598</t>
  </si>
  <si>
    <t>192</t>
  </si>
  <si>
    <t>54.7</t>
  </si>
  <si>
    <t>IGBT, 600 V, 40 A Field Stop Trench</t>
  </si>
  <si>
    <t>0.25</t>
  </si>
  <si>
    <t>1.37</t>
  </si>
  <si>
    <t>55.5</t>
  </si>
  <si>
    <t>IGBT, 650V, 40A, Field Stop</t>
  </si>
  <si>
    <t>0.26</t>
  </si>
  <si>
    <t>0.34</t>
  </si>
  <si>
    <t>3.6</t>
  </si>
  <si>
    <t>119</t>
  </si>
  <si>
    <t>349</t>
  </si>
  <si>
    <t>IGBT, 650 V, 40 A Field Stop Trench</t>
  </si>
  <si>
    <t>1.45</t>
  </si>
  <si>
    <t>388</t>
  </si>
  <si>
    <t>194</t>
  </si>
  <si>
    <t>73</t>
  </si>
  <si>
    <t>268</t>
  </si>
  <si>
    <t>0.297</t>
  </si>
  <si>
    <t>1.01</t>
  </si>
  <si>
    <t>72.2</t>
  </si>
  <si>
    <t>0.44</t>
  </si>
  <si>
    <t>68</t>
  </si>
  <si>
    <t>1.33</t>
  </si>
  <si>
    <t>0.31</t>
  </si>
  <si>
    <t>0.989</t>
  </si>
  <si>
    <t>251</t>
  </si>
  <si>
    <t>306</t>
  </si>
  <si>
    <t>231</t>
  </si>
  <si>
    <t>IGBT, 650 V, 50 A Field Stop Trench</t>
  </si>
  <si>
    <t>50</t>
  </si>
  <si>
    <t>0.309</t>
  </si>
  <si>
    <t>1.35</t>
  </si>
  <si>
    <t>IGBT, 1000V, NPT Trench</t>
  </si>
  <si>
    <t>1000</t>
  </si>
  <si>
    <t>2.5</t>
  </si>
  <si>
    <t>1.2</t>
  </si>
  <si>
    <t>275</t>
  </si>
  <si>
    <t>156</t>
  </si>
  <si>
    <t>2.9</t>
  </si>
  <si>
    <t>60</t>
  </si>
  <si>
    <t>257</t>
  </si>
  <si>
    <t>IGBT, 1100V, 50A, Shorted-anode</t>
  </si>
  <si>
    <t>1100</t>
  </si>
  <si>
    <t>2.06</t>
  </si>
  <si>
    <t>1.96</t>
  </si>
  <si>
    <t>0.99</t>
  </si>
  <si>
    <t>2.24</t>
  </si>
  <si>
    <t>195</t>
  </si>
  <si>
    <t xml:space="preserve">IGBT, 650 V, 50 A Field Stop Trench </t>
  </si>
  <si>
    <t>2.3</t>
  </si>
  <si>
    <t>0.384</t>
  </si>
  <si>
    <t>1.28</t>
  </si>
  <si>
    <t>197</t>
  </si>
  <si>
    <t>319</t>
  </si>
  <si>
    <t>IGBT, 650 V, 60 A Field Stop Trench</t>
  </si>
  <si>
    <t>0.52</t>
  </si>
  <si>
    <t>2.46</t>
  </si>
  <si>
    <t>271</t>
  </si>
  <si>
    <t>84</t>
  </si>
  <si>
    <t>IGBT, 600V, 60A, Field Stop</t>
  </si>
  <si>
    <t>0.81</t>
  </si>
  <si>
    <t>1.81</t>
  </si>
  <si>
    <t>179</t>
  </si>
  <si>
    <t>188</t>
  </si>
  <si>
    <t>IGBT, 650V, 60A, Field Stop</t>
  </si>
  <si>
    <t>0.45</t>
  </si>
  <si>
    <t>1.54</t>
  </si>
  <si>
    <t>212</t>
  </si>
  <si>
    <t>189</t>
  </si>
  <si>
    <t>1.61</t>
  </si>
  <si>
    <t>0.162</t>
  </si>
  <si>
    <t>81</t>
  </si>
  <si>
    <t>IGBT, 600V, 20A, Field Stop</t>
  </si>
  <si>
    <t>0.141</t>
  </si>
  <si>
    <t>0.452</t>
  </si>
  <si>
    <t>88.2</t>
  </si>
  <si>
    <t>64</t>
  </si>
  <si>
    <t>IGBT, 600V, 40A, Field Stop</t>
  </si>
  <si>
    <t>0.87</t>
  </si>
  <si>
    <t>110</t>
  </si>
  <si>
    <t>115</t>
  </si>
  <si>
    <t>IGBT, 600V, PT</t>
  </si>
  <si>
    <t>0.13</t>
  </si>
  <si>
    <t>0.47</t>
  </si>
  <si>
    <t>77</t>
  </si>
  <si>
    <t>100</t>
  </si>
  <si>
    <t>1.2V</t>
  </si>
  <si>
    <t>0.062</t>
  </si>
  <si>
    <t>0.132</t>
  </si>
  <si>
    <t>274</t>
  </si>
  <si>
    <t>IGBT, 600V, 20A, 2.2V, TO-247&lt;BR&gt;High Speed Field Stop</t>
  </si>
  <si>
    <t>0.37</t>
  </si>
  <si>
    <t>65</t>
  </si>
  <si>
    <t>57</t>
  </si>
  <si>
    <t>IGBT, 600V, 20A, 2.2V, D2PAK&lt;BR&gt;Field Stop</t>
  </si>
  <si>
    <t>111</t>
  </si>
  <si>
    <t>63</t>
  </si>
  <si>
    <t>IGBT, 430V, 19A, 1.6V, 300mJ, D2PAK, Current Sensing EcoSPARK® I, N-Channel Ignition</t>
  </si>
  <si>
    <t>430</t>
  </si>
  <si>
    <t>19</t>
  </si>
  <si>
    <t>1.85</t>
  </si>
  <si>
    <t>1500</t>
  </si>
  <si>
    <t>D2PAK-6 / TO-263-6</t>
  </si>
  <si>
    <t>IGBT, 400V, 26A, 1.35V, 300mJ, D2PAK&lt;BR&gt;EcoSPARK® II, N-Channel Ignition</t>
  </si>
  <si>
    <t>1900</t>
  </si>
  <si>
    <t>21</t>
  </si>
  <si>
    <t>IGBT, EcoSPARK® 300mJ, 560V, N-Channel Ignition</t>
  </si>
  <si>
    <t>560</t>
  </si>
  <si>
    <t>29</t>
  </si>
  <si>
    <t>1480</t>
  </si>
  <si>
    <t>15.6</t>
  </si>
  <si>
    <t>IGBT, 360V, 27A, 1.32V, 320mJ, EcoSPARK® II, N-Channel Ignition</t>
  </si>
  <si>
    <t>1700</t>
  </si>
  <si>
    <t>187</t>
  </si>
  <si>
    <t>IGBT, 450V, 23A, 1.3V, 320mJ, EcoSPARK® II, N-Channel Ignition</t>
  </si>
  <si>
    <t>450</t>
  </si>
  <si>
    <t>2600</t>
  </si>
  <si>
    <t>IGBT, 400V, 25A, 1.30V, 335mJ, EcoSPARK® II, N-Channel Ignition</t>
  </si>
  <si>
    <t>2000</t>
  </si>
  <si>
    <t>166</t>
  </si>
  <si>
    <t>IGBT, 650V, 40A Field Stop Trench</t>
  </si>
  <si>
    <t>0.28</t>
  </si>
  <si>
    <t>0.97</t>
  </si>
  <si>
    <t>36</t>
  </si>
  <si>
    <t>5</t>
  </si>
  <si>
    <t>IGBT, 600V, 5A, Short Circuit Rated</t>
  </si>
  <si>
    <t>0.07</t>
  </si>
  <si>
    <t>0.08</t>
  </si>
  <si>
    <t>12.1</t>
  </si>
  <si>
    <t>73.5</t>
  </si>
  <si>
    <t xml:space="preserve">IGBT, 600V, 7A, Short Circuit Rated </t>
  </si>
  <si>
    <t>7</t>
  </si>
  <si>
    <t>104</t>
  </si>
  <si>
    <t>99</t>
  </si>
  <si>
    <t>70</t>
  </si>
  <si>
    <t>Integrated Smart Ignition Coil Driver</t>
  </si>
  <si>
    <t>6.8</t>
  </si>
  <si>
    <t>D2PAK-7 / TO-263-7</t>
  </si>
  <si>
    <t>DPAK-3 / TO-252-3</t>
  </si>
  <si>
    <t>IGBT,  N-Channel Ignition,DPAK, 26A, 1.35V, 300mJ &lt;BR&gt;EcoSPARK® II</t>
  </si>
  <si>
    <t>IGBT, 400V, 26A, 1.35V, 300mJ, DPAK&lt;BR&gt;EcoSPARK® II, N-Channel Ignition</t>
  </si>
  <si>
    <t>IGBT, 500V, 27A, 1.3V, 300mJ, DPAK&lt;BR&gt;EcoSPARK® II, N-Channel Ignition</t>
  </si>
  <si>
    <t>495</t>
  </si>
  <si>
    <t>32</t>
  </si>
  <si>
    <t>1.1</t>
  </si>
  <si>
    <t>22</t>
  </si>
  <si>
    <t>IGBT,  N-Channel Ignition, DPAK, 1.3V, 320mJ,&lt;BR&gt;EcoSPARK® II</t>
  </si>
  <si>
    <t>23</t>
  </si>
  <si>
    <t>1.25</t>
  </si>
  <si>
    <t>IGBT, 450V, 23A, 1.3V, 320mJ, DPAK&lt;BR&gt;EcoSPARK® II, N-Channel Ignition</t>
  </si>
  <si>
    <t>IGBT, 250V, 25A, 1.35V, 330mJ, EcoSPARK®2, N-Channel Ignition</t>
  </si>
  <si>
    <t>IGBT, 400V, 25A, 1.30V, 335mJ, DPAK&lt;BR&gt;EcoSPARK® II, N-Channel Ignition</t>
  </si>
  <si>
    <t>24</t>
  </si>
  <si>
    <t>IGBT, 600V, 3A, 1.2V, DPAK, Planar</t>
  </si>
  <si>
    <t>6</t>
  </si>
  <si>
    <t>1</t>
  </si>
  <si>
    <t>234</t>
  </si>
  <si>
    <t>2.64</t>
  </si>
  <si>
    <t>12.5</t>
  </si>
  <si>
    <t>IGBT, 600V, 3A, Short Circuit Rated</t>
  </si>
  <si>
    <t>0.3</t>
  </si>
  <si>
    <t>10</t>
  </si>
  <si>
    <t>IGBT, 1200 V, 5 A FS Trench</t>
  </si>
  <si>
    <t>0.94</t>
  </si>
  <si>
    <t>0.247</t>
  </si>
  <si>
    <t>6.7</t>
  </si>
  <si>
    <t>69</t>
  </si>
  <si>
    <t>IGBT, 1200 V, 40 A Field Stop Trench</t>
  </si>
  <si>
    <t>6.9</t>
  </si>
  <si>
    <t>226</t>
  </si>
  <si>
    <t>428</t>
  </si>
  <si>
    <t>TO-247-3</t>
  </si>
  <si>
    <t>IGBT, 1200V, 15A, Field Stop Trench</t>
  </si>
  <si>
    <t>2.8</t>
  </si>
  <si>
    <t>0.46</t>
  </si>
  <si>
    <t>1.15</t>
  </si>
  <si>
    <t>12</t>
  </si>
  <si>
    <t>128</t>
  </si>
  <si>
    <t>333</t>
  </si>
  <si>
    <t>IGBT, 650V, 20A, 2.2V, TO-247&lt;BR&gt;High Speed Field Stop</t>
  </si>
  <si>
    <t>0.43</t>
  </si>
  <si>
    <t>34</t>
  </si>
  <si>
    <t>66</t>
  </si>
  <si>
    <t>165</t>
  </si>
  <si>
    <t>IGBT, 600V, 20A, 1.9V, TO-247&lt;BR&gt;Field Stop</t>
  </si>
  <si>
    <t>0.38</t>
  </si>
  <si>
    <t>IGBT, 1200V, 25A, Field Stop Trench</t>
  </si>
  <si>
    <t>25</t>
  </si>
  <si>
    <t>1.42</t>
  </si>
  <si>
    <t>496</t>
  </si>
  <si>
    <t>5.2</t>
  </si>
  <si>
    <t>169</t>
  </si>
  <si>
    <t>313</t>
  </si>
  <si>
    <t>IGBT, 1200V, 25A Field Stop Trench</t>
  </si>
  <si>
    <t>1.74</t>
  </si>
  <si>
    <t>325</t>
  </si>
  <si>
    <t>13</t>
  </si>
  <si>
    <t>225</t>
  </si>
  <si>
    <t>IGBT, 600V, 30A, PT</t>
  </si>
  <si>
    <t>372.3</t>
  </si>
  <si>
    <t>500</t>
  </si>
  <si>
    <t>IGBT, 1500 V, 30 A Shorted-anode</t>
  </si>
  <si>
    <t>0.9</t>
  </si>
  <si>
    <t>369</t>
  </si>
  <si>
    <t>IGBT, 1200V, NPT</t>
  </si>
  <si>
    <t>2.6</t>
  </si>
  <si>
    <t>417</t>
  </si>
  <si>
    <t>IGBT, 600V, 40A, 1.9V, TO-247&lt;BR&gt;Field Stop</t>
  </si>
  <si>
    <t>80</t>
  </si>
  <si>
    <t>122</t>
  </si>
  <si>
    <t>IGBT, 600V, 40A, 2.3V, TO-247&lt;BR&gt;High Speed Field Stop</t>
  </si>
  <si>
    <t>1.13</t>
  </si>
  <si>
    <t>290</t>
  </si>
  <si>
    <t>1.23</t>
  </si>
  <si>
    <t>121</t>
  </si>
  <si>
    <t>IGBT, 600V, 40A, 2.3V, TO-247&lt;BR&gt;High Speed, Field Stop</t>
  </si>
  <si>
    <t>IGBT, Field Stop, 600 V, 40 A, 1.9 V</t>
  </si>
  <si>
    <t>0.92</t>
  </si>
  <si>
    <t>1.19</t>
  </si>
  <si>
    <t>1.95</t>
  </si>
  <si>
    <t>45</t>
  </si>
  <si>
    <t>IGBT, 650V, 40A, 1.8V, TO-247&lt;BR&gt;Low VCE(ON) Field Stop</t>
  </si>
  <si>
    <t>0.79</t>
  </si>
  <si>
    <t>1.62</t>
  </si>
  <si>
    <t>IGBT, 650V, 40A, 1.8V, TO-247&lt;BR&gt;Field Stop</t>
  </si>
  <si>
    <t>IGBT, 1000V, 40A, Field Stop Trench</t>
  </si>
  <si>
    <t>3.4</t>
  </si>
  <si>
    <t>2.35</t>
  </si>
  <si>
    <t>256</t>
  </si>
  <si>
    <t>265</t>
  </si>
  <si>
    <t>IGBT, 1200V, 40A Field Stop Trench</t>
  </si>
  <si>
    <t>3.8</t>
  </si>
  <si>
    <t>2.7</t>
  </si>
  <si>
    <t>370</t>
  </si>
  <si>
    <t>555</t>
  </si>
  <si>
    <t>IGBT, 1200 V, 40 A FS Trench</t>
  </si>
  <si>
    <t>1.02</t>
  </si>
  <si>
    <t>7.2</t>
  </si>
  <si>
    <t>TO-247-4</t>
  </si>
  <si>
    <t>IGBT, Ultra Field Stop</t>
  </si>
  <si>
    <t>1.78</t>
  </si>
  <si>
    <t>9</t>
  </si>
  <si>
    <t>221</t>
  </si>
  <si>
    <t>0</t>
  </si>
  <si>
    <t>227</t>
  </si>
  <si>
    <t>0.27</t>
  </si>
  <si>
    <t>1.76</t>
  </si>
  <si>
    <t>0.052</t>
  </si>
  <si>
    <t>0.138</t>
  </si>
  <si>
    <t>31.8</t>
  </si>
  <si>
    <t>IGBT, 700 V, 40 A Field Stop Trench</t>
  </si>
  <si>
    <t>700</t>
  </si>
  <si>
    <t>0.271</t>
  </si>
  <si>
    <t>IGBT, 300V, SMPS</t>
  </si>
  <si>
    <t>180</t>
  </si>
  <si>
    <t>8</t>
  </si>
  <si>
    <t>800</t>
  </si>
  <si>
    <t>463</t>
  </si>
  <si>
    <t>IGBT, 650 V, 50A Field Stop 4 Trench</t>
  </si>
  <si>
    <t>0.11</t>
  </si>
  <si>
    <t>0.402</t>
  </si>
  <si>
    <t>IGBT, 600V, 60A, 2.2V, TO-247&lt;BR&gt;High Speed Field Stop</t>
  </si>
  <si>
    <t>0.67</t>
  </si>
  <si>
    <t>1.79</t>
  </si>
  <si>
    <t>198</t>
  </si>
  <si>
    <t>378</t>
  </si>
  <si>
    <t>IGBT, Field Stop, 600V, 60A</t>
  </si>
  <si>
    <t>IGBT, 600V, 60A, 2.2V, TO-247&lt;BR&gt;High Speed, Field Stop</t>
  </si>
  <si>
    <t>0.57</t>
  </si>
  <si>
    <t>1.97</t>
  </si>
  <si>
    <t>55</t>
  </si>
  <si>
    <t>0.39</t>
  </si>
  <si>
    <t>1.59</t>
  </si>
  <si>
    <t>72</t>
  </si>
  <si>
    <t>IGBT, 600V, 60A, 1.8V, TO-247&lt;BR&gt;Field Stop</t>
  </si>
  <si>
    <t>33</t>
  </si>
  <si>
    <t>IGBT, 600V, 20A, 1.8V, TO-247&lt;BR&gt;Low VCE(ON) Field Stop</t>
  </si>
  <si>
    <t>2.47</t>
  </si>
  <si>
    <t>47</t>
  </si>
  <si>
    <t>0.63</t>
  </si>
  <si>
    <t>1.69</t>
  </si>
  <si>
    <t>102</t>
  </si>
  <si>
    <t>0.585</t>
  </si>
  <si>
    <t>34.6</t>
  </si>
  <si>
    <t>null</t>
  </si>
  <si>
    <t>79</t>
  </si>
  <si>
    <t>IGBT, 600V, 75A, Field Stop</t>
  </si>
  <si>
    <t>3.05</t>
  </si>
  <si>
    <t>452</t>
  </si>
  <si>
    <t>IGBT, 650 V, 75 A Field Stop Trench</t>
  </si>
  <si>
    <t>0.72</t>
  </si>
  <si>
    <t>2.4</t>
  </si>
  <si>
    <t>123</t>
  </si>
  <si>
    <t>455</t>
  </si>
  <si>
    <t>0.75</t>
  </si>
  <si>
    <t>1.56</t>
  </si>
  <si>
    <t>1.06</t>
  </si>
  <si>
    <t>126</t>
  </si>
  <si>
    <t xml:space="preserve">IGBT, 650 V, 75 A Field Stop Trench </t>
  </si>
  <si>
    <t>TO-247 4-LEAD, THIN LEADS</t>
  </si>
  <si>
    <t>0.18</t>
  </si>
  <si>
    <t>375</t>
  </si>
  <si>
    <t>IGBT, Field Stop IV/4 Lead</t>
  </si>
  <si>
    <t>1.43</t>
  </si>
  <si>
    <t>1.26</t>
  </si>
  <si>
    <t>134</t>
  </si>
  <si>
    <t>0.266</t>
  </si>
  <si>
    <t>0.307</t>
  </si>
  <si>
    <t>IGBT, 600V, Field Stop</t>
  </si>
  <si>
    <t>105</t>
  </si>
  <si>
    <t>125</t>
  </si>
  <si>
    <t>4.8</t>
  </si>
  <si>
    <t>1.36</t>
  </si>
  <si>
    <t>1.24</t>
  </si>
  <si>
    <t>0.362</t>
  </si>
  <si>
    <t>304</t>
  </si>
  <si>
    <t>IGBT 650V FS4 High speed version for PFC application in TO-247</t>
  </si>
  <si>
    <t>0.088</t>
  </si>
  <si>
    <t>0.41</t>
  </si>
  <si>
    <t>IGBT, 400V, 26A, 1.35V, 300mJ, TO-262&lt;BR&gt;EcoSPARK® II, N-Channel Ignition</t>
  </si>
  <si>
    <t>I2PAK-3 / D2PAK-3 STRAIGHT LEAD</t>
  </si>
  <si>
    <t>IGBT, 360V, 27A, 1.32V, 320mJ, TO-262&lt;BR&gt;EcoSPARK® I, N-Channel Ignition</t>
  </si>
  <si>
    <t>71</t>
  </si>
  <si>
    <t>14</t>
  </si>
  <si>
    <t>391</t>
  </si>
  <si>
    <t>TO-264-3</t>
  </si>
  <si>
    <t>IGBT, 1200V, 35A, Field Stop Trench</t>
  </si>
  <si>
    <t>1.68</t>
  </si>
  <si>
    <t>520</t>
  </si>
  <si>
    <t>7.6</t>
  </si>
  <si>
    <t>210</t>
  </si>
  <si>
    <t>368</t>
  </si>
  <si>
    <t>3.2</t>
  </si>
  <si>
    <t>IGBT, 600V, 10A, Short Circuit Rated</t>
  </si>
  <si>
    <t>0.05</t>
  </si>
  <si>
    <t>0.15</t>
  </si>
  <si>
    <t>78.9</t>
  </si>
  <si>
    <t>37</t>
  </si>
  <si>
    <t>139</t>
  </si>
  <si>
    <t>TO-220-3</t>
  </si>
  <si>
    <t>IGBT, 600V, 15A, Short Circuit Rated</t>
  </si>
  <si>
    <t>0.067</t>
  </si>
  <si>
    <t>142</t>
  </si>
  <si>
    <t>178</t>
  </si>
  <si>
    <t>IGBT, 400V, 26A, 1.35V, 300mJ, TO-220&lt;BR&gt;EcoSPARK® II, N-Channel Ignition</t>
  </si>
  <si>
    <t>IGBT, 400V, 25A, 1.30V, 335mJ, TO-220&lt;BR&gt;EcoSPARK® II, N-Channel Ignition</t>
  </si>
  <si>
    <t>IGBT, 600V, 5A, Field Stop</t>
  </si>
  <si>
    <t>130</t>
  </si>
  <si>
    <t>18.3</t>
  </si>
  <si>
    <t>42</t>
  </si>
  <si>
    <t>TO-220-3 FullPak</t>
  </si>
  <si>
    <t>IGBT, 650 V Field Stop Trench</t>
  </si>
  <si>
    <t>170</t>
  </si>
  <si>
    <t>40.3</t>
  </si>
  <si>
    <t>IGBT, Field Stop Trench, Short Circuit Rated, 650 V, 100 A</t>
  </si>
  <si>
    <t>9.7</t>
  </si>
  <si>
    <t>62</t>
  </si>
  <si>
    <t>157</t>
  </si>
  <si>
    <t>750</t>
  </si>
  <si>
    <t>IGBT, 650V, 120A Field Stop, Trench With Soft Fast Recovery Diode</t>
  </si>
  <si>
    <t>240</t>
  </si>
  <si>
    <t>3.5</t>
  </si>
  <si>
    <t>162</t>
  </si>
  <si>
    <t>882</t>
  </si>
  <si>
    <t>IGBT, 650V, 160A Field Stop, Trench With Soft Fast Recovery Diode</t>
  </si>
  <si>
    <t>5.7</t>
  </si>
  <si>
    <t>12.4</t>
  </si>
  <si>
    <t>132</t>
  </si>
  <si>
    <t>163</t>
  </si>
  <si>
    <t>IGBT, Ultra Field Stop -1200V 60A</t>
  </si>
  <si>
    <t>0.77</t>
  </si>
  <si>
    <t>248</t>
  </si>
  <si>
    <t>IGBT, Ultra Field Stop -1200V 75A</t>
  </si>
  <si>
    <t>6.25</t>
  </si>
  <si>
    <t>399</t>
  </si>
  <si>
    <t>395</t>
  </si>
  <si>
    <t>2.45</t>
  </si>
  <si>
    <t>0.8</t>
  </si>
  <si>
    <t>0.32</t>
  </si>
  <si>
    <t>0.09</t>
  </si>
  <si>
    <t>44</t>
  </si>
  <si>
    <t>390</t>
  </si>
  <si>
    <t>IGBT, 600V, SMPS</t>
  </si>
  <si>
    <t>0.24</t>
  </si>
  <si>
    <t>0.68</t>
  </si>
  <si>
    <t>0.025</t>
  </si>
  <si>
    <t>0.037</t>
  </si>
  <si>
    <t>0.06</t>
  </si>
  <si>
    <t>0.055</t>
  </si>
  <si>
    <t>2170</t>
  </si>
  <si>
    <t>IGBT, 430V, 15A, 1.77V, 250mJ, D2PAK&lt;BR&gt;EcoSPARK® I, N-Channel Ignition</t>
  </si>
  <si>
    <t>15.1</t>
  </si>
  <si>
    <t>166.7</t>
  </si>
  <si>
    <t>1.58</t>
  </si>
  <si>
    <t>2100</t>
  </si>
  <si>
    <t>IGBT, 400V, 17A, 1.58V, 300mJ, DPAK&lt;BR&gt;EcoSPARK® I, N-Channel Ignition</t>
  </si>
  <si>
    <t>IGBT, 400V, 17A, 1.58V, 300mJ, TO-220&lt;BR&gt;EcoSPARK® I, N-Channel Ignition</t>
  </si>
  <si>
    <t>IGBT, N-Channel Ignition, D2PAK,  400V, 17A, 1.58V, 300mJ&lt;BR&gt;EcoSPARK® I</t>
  </si>
  <si>
    <t>IGBT, 400V, 17A, 1.58V, 300mJ, D2PAK&lt;BR&gt;EcoSPARK® I, N-Channel Ignition</t>
  </si>
  <si>
    <t>IGBT, 360V, 31A, 1.17V, 500mJ, TO-220&lt;BR&gt;EcoSPARK® I, N-Channel Ignition</t>
  </si>
  <si>
    <t>IGBT, 360V, 31A, 1.17V, 500mJ, D2PAK&lt;BR&gt;EcoSPARK® II, N-Channel Ignition</t>
  </si>
  <si>
    <t>31</t>
  </si>
  <si>
    <t>IGBT, 450V, 19A, 1.6V, 300mJ, DPAK&lt;BR&gt;EcoSPARK® I, N-Channel Ignition</t>
  </si>
  <si>
    <t>IGBT, 450V, 43A, 1.25V, 500mJ, D2PAK&lt;BR&gt;EcoSPARK® I, N-Channel Ignition</t>
  </si>
  <si>
    <t>IGBT, 600 V, 4.5 A, N-Channel</t>
  </si>
  <si>
    <t>4.5</t>
  </si>
  <si>
    <t>0.027</t>
  </si>
  <si>
    <t>49</t>
  </si>
  <si>
    <t>IGBT, 600V, 8A, N-Channel</t>
  </si>
  <si>
    <t>0.188</t>
  </si>
  <si>
    <t>IGBT N-Channel, 600V, 10A, VCE(sat)=1.5V, TO-220F-3FS</t>
  </si>
  <si>
    <t>IGBT, 600V, 10A, N-Channel</t>
  </si>
  <si>
    <t>0.14</t>
  </si>
  <si>
    <t>0.412</t>
  </si>
  <si>
    <t>90</t>
  </si>
  <si>
    <t>53</t>
  </si>
  <si>
    <t>IGBT 1200V 15A SOLAR/UPS</t>
  </si>
  <si>
    <t>11</t>
  </si>
  <si>
    <t>109</t>
  </si>
  <si>
    <t>294</t>
  </si>
  <si>
    <t>IGBT 1200V 15A FS2-RC Induction Heating</t>
  </si>
  <si>
    <t>160</t>
  </si>
  <si>
    <t>IGBT 1350V 15A FS2-RC Induction Heating</t>
  </si>
  <si>
    <t>1350</t>
  </si>
  <si>
    <t>2.15</t>
  </si>
  <si>
    <t>357</t>
  </si>
  <si>
    <t>IGBT, 600V, 14A, N-Channel</t>
  </si>
  <si>
    <t>0.22</t>
  </si>
  <si>
    <t>0.55</t>
  </si>
  <si>
    <t>95</t>
  </si>
  <si>
    <t>54</t>
  </si>
  <si>
    <t>IGBT, /w Diode 600V 15A NPT</t>
  </si>
  <si>
    <t>0.7</t>
  </si>
  <si>
    <t>0.35</t>
  </si>
  <si>
    <t>270</t>
  </si>
  <si>
    <t>88</t>
  </si>
  <si>
    <t>117</t>
  </si>
  <si>
    <t>IGBT, 1200V 20A FS2-RC Induction Heating</t>
  </si>
  <si>
    <t>384</t>
  </si>
  <si>
    <t>IGBT, 1350V 20A FS2-RC Induction Heating</t>
  </si>
  <si>
    <t>394</t>
  </si>
  <si>
    <t>IGBT, N-Channel 600V, 20A, VCE(sat);1.45V TO-3PF-3L with Low VF Switching Diode</t>
  </si>
  <si>
    <t>IGBT, 1200V 25A FS2 SOLAR/UPS</t>
  </si>
  <si>
    <t>154</t>
  </si>
  <si>
    <t>385</t>
  </si>
  <si>
    <t>IGBT, Ultra Field Stop - 1200V 25A</t>
  </si>
  <si>
    <t>IGBT, 1200V 30A FS2 Solar/UPS</t>
  </si>
  <si>
    <t>IGBT, 1350V 30A FS2-RC Induction Heating</t>
  </si>
  <si>
    <t>0.85</t>
  </si>
  <si>
    <t>IGBT, 1350V 30A with Monolithic Free Wheeling Diode.</t>
  </si>
  <si>
    <t>IGBT, N-Channel with Low VF Switching Diode, 600V, 30A, VCE(sat)=1.4V</t>
  </si>
  <si>
    <t>1.14</t>
  </si>
  <si>
    <t>TO-247</t>
  </si>
  <si>
    <t>IGBT, 650V 30A FS2 Induction Heating</t>
  </si>
  <si>
    <t>135</t>
  </si>
  <si>
    <t>219</t>
  </si>
  <si>
    <t>IGBT, 600V 35A FS2 Solar/UPS</t>
  </si>
  <si>
    <t>0.84</t>
  </si>
  <si>
    <t>IGBT, 650V 35A FS2 Solar/UPS</t>
  </si>
  <si>
    <t>IGBT, 1200V 40A FS2 Solar/UPS</t>
  </si>
  <si>
    <t>535</t>
  </si>
  <si>
    <t>IGBT, 1200 VField Stop II, 40 A</t>
  </si>
  <si>
    <t>16</t>
  </si>
  <si>
    <t>536</t>
  </si>
  <si>
    <t>IGBT, Ultra Field Stop -1200V 40A</t>
  </si>
  <si>
    <t>86</t>
  </si>
  <si>
    <t>454</t>
  </si>
  <si>
    <t>IGBT, 1200V 40A FS2-RC Induction Heating</t>
  </si>
  <si>
    <t>0.95</t>
  </si>
  <si>
    <t>IGBT, Ultra Field stop - 1200V 40A, Low VCEsat</t>
  </si>
  <si>
    <t>1.55</t>
  </si>
  <si>
    <t>IGBT, 1200V, 40A Low VF FSIII</t>
  </si>
  <si>
    <t>IGBT, 1350V 40A FS2-RC Induction Heating</t>
  </si>
  <si>
    <t>IGBT, 600V 40A FS2 Low VCEsat</t>
  </si>
  <si>
    <t>1.17</t>
  </si>
  <si>
    <t>228</t>
  </si>
  <si>
    <t>IGBT, 650V 40A FS2 Solar/UPS</t>
  </si>
  <si>
    <t>366</t>
  </si>
  <si>
    <t>IGBT, 650V 40A FS2 Induction Heating</t>
  </si>
  <si>
    <t>0.36</t>
  </si>
  <si>
    <t>465</t>
  </si>
  <si>
    <t>IGBT, 1200V 50A FS2 Solar/UPS</t>
  </si>
  <si>
    <t>4.4</t>
  </si>
  <si>
    <t>311</t>
  </si>
  <si>
    <t>IGBT, 600V 50A FS2 Low VCEsat</t>
  </si>
  <si>
    <t>67</t>
  </si>
  <si>
    <t>7.4</t>
  </si>
  <si>
    <t>310</t>
  </si>
  <si>
    <t>IGBT, 650V 50A FS2 Solar/UPS</t>
  </si>
  <si>
    <t>IGBT, 650 V Field Stop II, 50 A</t>
  </si>
  <si>
    <t>0.48</t>
  </si>
  <si>
    <t>6.5</t>
  </si>
  <si>
    <t>215</t>
  </si>
  <si>
    <t>IGBT, 650V 60A Field Stop 2 IGBT</t>
  </si>
  <si>
    <t>1.64</t>
  </si>
  <si>
    <t>2.13</t>
  </si>
  <si>
    <t>0.66</t>
  </si>
  <si>
    <t>96</t>
  </si>
  <si>
    <t>318</t>
  </si>
  <si>
    <t>595</t>
  </si>
  <si>
    <t>IGBT, 650V 75A FS2 Solar/UPS</t>
  </si>
  <si>
    <t>Rectifier 1200V bare die</t>
  </si>
  <si>
    <t>IGBT, 1200V 15A FS2 bare die</t>
  </si>
  <si>
    <t>IGBT, 650V 30A FS2 bare die</t>
  </si>
  <si>
    <t>IGBT, 650V 35A FS2 bare die</t>
  </si>
  <si>
    <t>Rectifier 650V 75A FS2 bare die</t>
  </si>
  <si>
    <t>Rectifier 1200V 35A FS2 bare die</t>
  </si>
  <si>
    <t>IGBT 600V 40A FS2 bare die</t>
  </si>
  <si>
    <t>IGBT 1200V 20A FS2 bare die</t>
  </si>
  <si>
    <t>IGBT 650V 45A FS2 bare die</t>
  </si>
  <si>
    <t>IGBT 1200V 25A FS2 bare die</t>
  </si>
  <si>
    <t>IGBT 650V 75A FS2 bare die</t>
  </si>
  <si>
    <t>IGBT 1200V 40A FS2 bare die</t>
  </si>
  <si>
    <t>Rectifier 650V 20A FS2 bare die</t>
  </si>
  <si>
    <t>Rectifier 650V 30A FS2 bare die</t>
  </si>
  <si>
    <t>Rectifier 1200V 15A FS2 bare die</t>
  </si>
  <si>
    <t>IGBT, N-Channel, 600V, 12A, VCE(sat)=1.4V, TO-3PF-3L</t>
  </si>
  <si>
    <t>IGBT, 1200V 15A Solar/UPS</t>
  </si>
  <si>
    <t>IGBT, 600V 15A NPT</t>
  </si>
  <si>
    <t>IGBT, N-Channel 600V, 20A, VCE(sat);1.45V Single TO-3PF-3L</t>
  </si>
  <si>
    <t>IGBT, 1200V 25A SOLAR/UPS</t>
  </si>
  <si>
    <t>IGBT, 1200V 40A SOLAR/UPS</t>
  </si>
  <si>
    <t>Ultra Field Stop IGBT 1200V 25A bare die</t>
  </si>
  <si>
    <t>650V 40A FS4 IGBT Wafer Sales</t>
  </si>
  <si>
    <t>40A</t>
  </si>
  <si>
    <t>650V 50A FS4 IGBT Wafer Sales</t>
  </si>
  <si>
    <t>99nC</t>
  </si>
  <si>
    <t>Ultra Field Stop IGBT 1200V 60A bare die</t>
  </si>
  <si>
    <t>Ultra Field Stop IGBT 1200V 75A bare die</t>
  </si>
  <si>
    <t>PCFG75T65LQF</t>
  </si>
  <si>
    <t>IGBT 650V, 75A</t>
  </si>
  <si>
    <t>650V 75A FS4 IGBT Wafer Sales</t>
  </si>
  <si>
    <t>75A</t>
  </si>
  <si>
    <t>128nC</t>
  </si>
  <si>
    <t>IGBT, 650 V, 160 A Field Stop Trench</t>
  </si>
  <si>
    <t>167</t>
  </si>
  <si>
    <t>IGBT, 650 V, 200 A Field Stop Trench</t>
  </si>
  <si>
    <t>1.53</t>
  </si>
  <si>
    <t>229</t>
  </si>
  <si>
    <t>IGBT 650 V, 200 A Field Stop Trench Gen3 (FS3) Bare Die with Solderable Top Metal. Pairing with PCRKA20065F8M1</t>
  </si>
  <si>
    <t>IGBT, 650 V, 300 A Field Stop Trench</t>
  </si>
  <si>
    <t>PCGA300T65DF8M1</t>
  </si>
  <si>
    <t>IGBT bare die 750V 200A</t>
  </si>
  <si>
    <t xml:space="preserve">Extremefast (EF) diode 650V / 160A </t>
  </si>
  <si>
    <t>Extremefast (EF) diode, 650 V, 200 A, Bare Die with Solderable Top Metal. Pairing with PCGA200T65NF8M1</t>
  </si>
  <si>
    <t>Diode bare die 750V 200A</t>
  </si>
  <si>
    <t>Extremefast (EF) diode, 650 V, 300 A Bare Die with Solderable Top Metal. Pairing with PCGA300T65DF8M1</t>
  </si>
  <si>
    <t>0.135</t>
  </si>
  <si>
    <t>0.115</t>
  </si>
  <si>
    <t>IGBT, Discrete, High Performance</t>
  </si>
  <si>
    <t>4.7</t>
  </si>
  <si>
    <t>0.1</t>
  </si>
  <si>
    <t>0.19</t>
  </si>
  <si>
    <t>62.5</t>
  </si>
  <si>
    <t>97</t>
  </si>
  <si>
    <t>IGBT, 600V, 50A, Short Circuit Rated</t>
  </si>
  <si>
    <t>1.03</t>
  </si>
  <si>
    <t>140</t>
  </si>
  <si>
    <t>145</t>
  </si>
  <si>
    <t>0.215</t>
  </si>
  <si>
    <t>IGBT, N-Channel, 240 A, 430 V</t>
  </si>
  <si>
    <t>IGBT, N-Channel, 400V, 150A, VCE(sat)=4V, Single ECH8</t>
  </si>
  <si>
    <t>4</t>
  </si>
  <si>
    <t>SOT-28 FL / ECH-8</t>
  </si>
  <si>
    <t>IGBT, N-Channel, 400V, 150A, VCE(sat);4.2V, Single ECH8</t>
  </si>
  <si>
    <t>4.2</t>
  </si>
  <si>
    <t>IGBT, 400V, 150A, VCE(sat);3.8V, Single N-Channel</t>
  </si>
  <si>
    <t>SOIC-8</t>
  </si>
  <si>
    <t>IGBT, N-Channel 400V, 150A, VCE(sat); 3.8V Single ECH8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</si>
</sst>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b/>
      <sz val="10"/>
      <color indexed="9"/>
      <name val="Arial"/>
      <family val="2"/>
    </font>
    <font>
      <sz val="9"/>
      <name val="宋体"/>
      <charset val="134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  <xf numFmtId="0" fontId="0" fillId="3" borderId="0" xfId="0" applyFill="1"/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6"/>
  <sheetViews>
    <sheetView tabSelected="1" workbookViewId="0">
      <pane ySplit="1" topLeftCell="A95" activePane="bottomLeft" state="frozen"/>
      <selection pane="bottomLeft" activeCell="A96" sqref="A96:A110"/>
    </sheetView>
  </sheetViews>
  <sheetFormatPr defaultRowHeight="12.75"/>
  <cols>
    <col min="1" max="19" width="18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>
      <c r="A2" s="3" t="str">
        <f>HYPERLINK("https://www.onsemi.com/PowerSolutions/product.do?id=FGAF20S65AQ","FGAF20S65AQ")</f>
        <v>FGAF20S65AQ</v>
      </c>
      <c r="B2" t="str">
        <f>HYPERLINK("https://www.onsemi.com/pub/Collateral/FGAF20S65AQ-D.PDF","FGAF20S65AQ/D (205kB)")</f>
        <v>FGAF20S65AQ/D (205kB)</v>
      </c>
      <c r="C2" t="s">
        <v>19</v>
      </c>
      <c r="D2" s="2" t="s">
        <v>20</v>
      </c>
      <c r="E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2" t="s">
        <v>26</v>
      </c>
      <c r="K2" s="2" t="s">
        <v>27</v>
      </c>
      <c r="L2" s="2" t="s">
        <v>28</v>
      </c>
      <c r="M2" t="s">
        <v>29</v>
      </c>
      <c r="N2" s="2" t="s">
        <v>30</v>
      </c>
      <c r="O2" t="s">
        <v>29</v>
      </c>
      <c r="P2" t="s">
        <v>29</v>
      </c>
      <c r="Q2" s="2" t="s">
        <v>31</v>
      </c>
      <c r="R2" s="2" t="s">
        <v>32</v>
      </c>
      <c r="S2" s="2" t="s">
        <v>33</v>
      </c>
    </row>
    <row r="3" spans="1:19">
      <c r="A3" s="3" t="str">
        <f>HYPERLINK("https://www.onsemi.com/PowerSolutions/product.do?id=FGAF30S65AQ","FGAF30S65AQ")</f>
        <v>FGAF30S65AQ</v>
      </c>
      <c r="B3" t="str">
        <f>HYPERLINK("https://www.onsemi.com/pub/Collateral/FGAF30S65AQ-D.PDF","FGAF30S65AQ/D (163kB)")</f>
        <v>FGAF30S65AQ/D (163kB)</v>
      </c>
      <c r="C3" t="s">
        <v>34</v>
      </c>
      <c r="D3" s="2" t="s">
        <v>20</v>
      </c>
      <c r="E3" t="s">
        <v>21</v>
      </c>
      <c r="F3" s="2" t="s">
        <v>22</v>
      </c>
      <c r="G3" s="2" t="s">
        <v>35</v>
      </c>
      <c r="H3" s="2" t="s">
        <v>24</v>
      </c>
      <c r="I3" s="2" t="s">
        <v>25</v>
      </c>
      <c r="J3" s="2" t="s">
        <v>36</v>
      </c>
      <c r="K3" s="2" t="s">
        <v>37</v>
      </c>
      <c r="L3" s="2" t="s">
        <v>38</v>
      </c>
      <c r="M3" t="s">
        <v>29</v>
      </c>
      <c r="N3" s="2" t="s">
        <v>39</v>
      </c>
      <c r="O3" t="s">
        <v>29</v>
      </c>
      <c r="P3" t="s">
        <v>29</v>
      </c>
      <c r="Q3" s="2" t="s">
        <v>40</v>
      </c>
      <c r="R3" s="2" t="s">
        <v>32</v>
      </c>
      <c r="S3" s="2" t="s">
        <v>33</v>
      </c>
    </row>
    <row r="4" spans="1:19" ht="51">
      <c r="A4" s="3" t="str">
        <f>HYPERLINK("https://www.onsemi.com/PowerSolutions/product.do?id=FGD2736G3-F085V","FGD2736G3-F085V")</f>
        <v>FGD2736G3-F085V</v>
      </c>
      <c r="C4" t="s">
        <v>41</v>
      </c>
      <c r="D4" s="2" t="s">
        <v>42</v>
      </c>
      <c r="E4" t="s">
        <v>21</v>
      </c>
      <c r="F4" s="2" t="s">
        <v>43</v>
      </c>
      <c r="G4" s="2" t="s">
        <v>44</v>
      </c>
      <c r="H4" s="2" t="s">
        <v>45</v>
      </c>
      <c r="I4" s="2" t="s">
        <v>46</v>
      </c>
      <c r="J4" s="2" t="s">
        <v>46</v>
      </c>
      <c r="K4" s="2" t="s">
        <v>46</v>
      </c>
      <c r="L4" s="2" t="s">
        <v>47</v>
      </c>
      <c r="M4" s="2" t="s">
        <v>46</v>
      </c>
      <c r="N4" s="2" t="s">
        <v>46</v>
      </c>
      <c r="O4" s="2" t="s">
        <v>46</v>
      </c>
      <c r="P4" s="2" t="s">
        <v>46</v>
      </c>
      <c r="Q4" s="2" t="s">
        <v>48</v>
      </c>
      <c r="R4" s="2" t="s">
        <v>32</v>
      </c>
      <c r="S4" s="2" t="s">
        <v>49</v>
      </c>
    </row>
    <row r="5" spans="1:19" ht="25.5">
      <c r="A5" s="3" t="str">
        <f>HYPERLINK("https://www.onsemi.com/PowerSolutions/product.do?id=FGHL75T65MQD","FGHL75T65MQD")</f>
        <v>FGHL75T65MQD</v>
      </c>
      <c r="B5" t="str">
        <f>HYPERLINK("https://www.onsemi.com/pub/Collateral/FGHL75T65MQD-D.PDF","FGHL75T65MQD/D (257kB)")</f>
        <v>FGHL75T65MQD/D (257kB)</v>
      </c>
      <c r="C5" t="s">
        <v>50</v>
      </c>
      <c r="D5" s="2" t="s">
        <v>51</v>
      </c>
      <c r="E5" t="s">
        <v>21</v>
      </c>
      <c r="F5" s="2" t="s">
        <v>52</v>
      </c>
      <c r="G5" s="2" t="s">
        <v>53</v>
      </c>
      <c r="H5" s="2" t="s">
        <v>54</v>
      </c>
      <c r="I5" s="2" t="s">
        <v>55</v>
      </c>
      <c r="J5" s="2" t="s">
        <v>56</v>
      </c>
      <c r="K5" s="2" t="s">
        <v>57</v>
      </c>
      <c r="L5" s="2" t="s">
        <v>58</v>
      </c>
      <c r="M5" s="2" t="s">
        <v>59</v>
      </c>
      <c r="N5" s="2" t="s">
        <v>60</v>
      </c>
      <c r="O5" s="2" t="s">
        <v>61</v>
      </c>
      <c r="P5" s="2" t="s">
        <v>61</v>
      </c>
      <c r="Q5" s="2" t="s">
        <v>62</v>
      </c>
      <c r="R5" s="2" t="s">
        <v>63</v>
      </c>
      <c r="S5" s="2" t="s">
        <v>64</v>
      </c>
    </row>
    <row r="6" spans="1:19" ht="51">
      <c r="A6" s="3" t="str">
        <f>HYPERLINK("https://www.onsemi.com/PowerSolutions/product.do?id=ISL9V3040D3STV","ISL9V3040D3STV")</f>
        <v>ISL9V3040D3STV</v>
      </c>
      <c r="B6" t="str">
        <f>HYPERLINK("https://www.onsemi.com/pub/Collateral/ISL9V3040D3STV-D.PDF","ISL9V3040D3STV/D (636kB)")</f>
        <v>ISL9V3040D3STV/D (636kB)</v>
      </c>
      <c r="C6" t="s">
        <v>65</v>
      </c>
      <c r="D6" s="2" t="s">
        <v>42</v>
      </c>
      <c r="E6" t="s">
        <v>21</v>
      </c>
      <c r="F6" s="2" t="s">
        <v>67</v>
      </c>
      <c r="G6" s="2" t="s">
        <v>68</v>
      </c>
      <c r="H6" s="2" t="s">
        <v>69</v>
      </c>
      <c r="I6" s="2" t="s">
        <v>46</v>
      </c>
      <c r="J6" s="2" t="s">
        <v>46</v>
      </c>
      <c r="K6" s="2" t="s">
        <v>46</v>
      </c>
      <c r="L6" s="2" t="s">
        <v>46</v>
      </c>
      <c r="M6" s="2" t="s">
        <v>46</v>
      </c>
      <c r="N6" s="2" t="s">
        <v>68</v>
      </c>
      <c r="O6" s="2" t="s">
        <v>46</v>
      </c>
      <c r="P6" s="2" t="s">
        <v>46</v>
      </c>
      <c r="Q6" s="2" t="s">
        <v>48</v>
      </c>
      <c r="R6" s="2" t="s">
        <v>32</v>
      </c>
      <c r="S6" s="2" t="s">
        <v>49</v>
      </c>
    </row>
    <row r="7" spans="1:19" ht="51">
      <c r="A7" s="3" t="str">
        <f>HYPERLINK("https://www.onsemi.com/PowerSolutions/product.do?id=ISL9V2040D3STV","ISL9V2040D3STV")</f>
        <v>ISL9V2040D3STV</v>
      </c>
      <c r="B7" t="str">
        <f>HYPERLINK("https://www.onsemi.com/pub/Collateral/ISL9V2040D-F085-D.pdf","ISL9V2040D_F085/D (414kB)")</f>
        <v>ISL9V2040D_F085/D (414kB)</v>
      </c>
      <c r="C7" t="s">
        <v>70</v>
      </c>
      <c r="D7" s="2" t="s">
        <v>42</v>
      </c>
      <c r="E7" t="s">
        <v>71</v>
      </c>
      <c r="F7" t="s">
        <v>29</v>
      </c>
      <c r="G7" t="s">
        <v>29</v>
      </c>
      <c r="H7" t="s">
        <v>29</v>
      </c>
      <c r="I7" t="s">
        <v>29</v>
      </c>
      <c r="J7" t="s">
        <v>29</v>
      </c>
      <c r="K7" t="s">
        <v>29</v>
      </c>
      <c r="L7" t="s">
        <v>29</v>
      </c>
      <c r="M7" t="s">
        <v>29</v>
      </c>
      <c r="N7" t="s">
        <v>29</v>
      </c>
      <c r="O7" t="s">
        <v>29</v>
      </c>
      <c r="P7" t="s">
        <v>29</v>
      </c>
      <c r="Q7" t="s">
        <v>29</v>
      </c>
      <c r="R7" t="s">
        <v>29</v>
      </c>
      <c r="S7" s="2" t="s">
        <v>49</v>
      </c>
    </row>
    <row r="8" spans="1:19" ht="51">
      <c r="A8" s="3" t="str">
        <f>HYPERLINK("https://www.onsemi.com/PowerSolutions/product.do?id=ISL9V3036D3STV","ISL9V3036D3STV")</f>
        <v>ISL9V3036D3STV</v>
      </c>
      <c r="B8" t="str">
        <f>HYPERLINK("https://www.onsemi.com/pub/Collateral/ISL9V3036S-F085-D.pdf","ISL9V3036S_F085/D (539kB)")</f>
        <v>ISL9V3036S_F085/D (539kB)</v>
      </c>
      <c r="C8" t="s">
        <v>72</v>
      </c>
      <c r="D8" s="2" t="s">
        <v>42</v>
      </c>
      <c r="E8" t="s">
        <v>71</v>
      </c>
      <c r="F8" t="s">
        <v>29</v>
      </c>
      <c r="G8" t="s">
        <v>29</v>
      </c>
      <c r="H8" t="s">
        <v>29</v>
      </c>
      <c r="I8" t="s">
        <v>29</v>
      </c>
      <c r="J8" t="s">
        <v>29</v>
      </c>
      <c r="K8" t="s">
        <v>29</v>
      </c>
      <c r="L8" t="s">
        <v>29</v>
      </c>
      <c r="M8" t="s">
        <v>29</v>
      </c>
      <c r="N8" t="s">
        <v>29</v>
      </c>
      <c r="O8" t="s">
        <v>29</v>
      </c>
      <c r="P8" t="s">
        <v>29</v>
      </c>
      <c r="Q8" t="s">
        <v>29</v>
      </c>
      <c r="R8" t="s">
        <v>29</v>
      </c>
      <c r="S8" s="2" t="s">
        <v>49</v>
      </c>
    </row>
    <row r="9" spans="1:19" ht="38.25">
      <c r="A9" s="3" t="str">
        <f>HYPERLINK("https://www.onsemi.com/PowerSolutions/product.do?id=AFGB30T65SQDN","AFGB30T65SQDN")</f>
        <v>AFGB30T65SQDN</v>
      </c>
      <c r="B9" t="str">
        <f>HYPERLINK("https://www.onsemi.com/pub/Collateral/AFGB30T65SQDN-D.PDF","AFGB30T65SQDN/D (151kB)")</f>
        <v>AFGB30T65SQDN/D (151kB)</v>
      </c>
      <c r="C9" t="s">
        <v>73</v>
      </c>
      <c r="D9" s="2" t="s">
        <v>74</v>
      </c>
      <c r="E9" t="s">
        <v>75</v>
      </c>
      <c r="F9" s="2" t="s">
        <v>22</v>
      </c>
      <c r="G9" s="2" t="s">
        <v>35</v>
      </c>
      <c r="H9" s="2" t="s">
        <v>69</v>
      </c>
      <c r="I9" s="2" t="s">
        <v>76</v>
      </c>
      <c r="J9" s="2" t="s">
        <v>77</v>
      </c>
      <c r="K9" s="2" t="s">
        <v>78</v>
      </c>
      <c r="L9" s="2" t="s">
        <v>79</v>
      </c>
      <c r="M9" t="s">
        <v>29</v>
      </c>
      <c r="N9" s="2" t="s">
        <v>80</v>
      </c>
      <c r="O9" s="2" t="s">
        <v>46</v>
      </c>
      <c r="P9" s="2" t="s">
        <v>46</v>
      </c>
      <c r="Q9" s="2" t="s">
        <v>81</v>
      </c>
      <c r="R9" s="2" t="s">
        <v>63</v>
      </c>
      <c r="S9" s="2" t="s">
        <v>82</v>
      </c>
    </row>
    <row r="10" spans="1:19" ht="38.25">
      <c r="A10" s="3" t="str">
        <f>HYPERLINK("https://www.onsemi.com/PowerSolutions/product.do?id=AFGB40T65SQDN","AFGB40T65SQDN")</f>
        <v>AFGB40T65SQDN</v>
      </c>
      <c r="B10" t="str">
        <f>HYPERLINK("https://www.onsemi.com/pub/Collateral/AFGB40T65SQDN-D.PDF","AFGB40T65SQDN/D (178kB)")</f>
        <v>AFGB40T65SQDN/D (178kB)</v>
      </c>
      <c r="C10" t="s">
        <v>83</v>
      </c>
      <c r="D10" s="2" t="s">
        <v>74</v>
      </c>
      <c r="E10" t="s">
        <v>75</v>
      </c>
      <c r="F10" s="2" t="s">
        <v>22</v>
      </c>
      <c r="G10" s="2" t="s">
        <v>84</v>
      </c>
      <c r="H10" s="2" t="s">
        <v>69</v>
      </c>
      <c r="I10" s="2" t="s">
        <v>76</v>
      </c>
      <c r="J10" s="2" t="s">
        <v>85</v>
      </c>
      <c r="K10" s="2" t="s">
        <v>86</v>
      </c>
      <c r="L10" s="2" t="s">
        <v>79</v>
      </c>
      <c r="M10" t="s">
        <v>29</v>
      </c>
      <c r="N10" s="2" t="s">
        <v>87</v>
      </c>
      <c r="O10" s="2" t="s">
        <v>46</v>
      </c>
      <c r="P10" s="2" t="s">
        <v>46</v>
      </c>
      <c r="Q10" s="2" t="s">
        <v>88</v>
      </c>
      <c r="R10" s="2" t="s">
        <v>63</v>
      </c>
      <c r="S10" s="2" t="s">
        <v>82</v>
      </c>
    </row>
    <row r="11" spans="1:19" ht="38.25">
      <c r="A11" s="3" t="str">
        <f>HYPERLINK("https://www.onsemi.com/PowerSolutions/product.do?id=AFGHL40T65SPD","AFGHL40T65SPD")</f>
        <v>AFGHL40T65SPD</v>
      </c>
      <c r="B11" t="str">
        <f>HYPERLINK("https://www.onsemi.com/pub/Collateral/AFGHL40T65SPD-D.PDF","AFGHL40T65SPD/D (246kB)")</f>
        <v>AFGHL40T65SPD/D (246kB)</v>
      </c>
      <c r="C11" t="s">
        <v>89</v>
      </c>
      <c r="D11" s="2" t="s">
        <v>74</v>
      </c>
      <c r="E11" t="s">
        <v>75</v>
      </c>
      <c r="F11" t="s">
        <v>29</v>
      </c>
      <c r="G11" t="s">
        <v>29</v>
      </c>
      <c r="H11" t="s">
        <v>29</v>
      </c>
      <c r="I11" t="s">
        <v>29</v>
      </c>
      <c r="J11" t="s">
        <v>29</v>
      </c>
      <c r="K11" t="s">
        <v>29</v>
      </c>
      <c r="L11" t="s">
        <v>29</v>
      </c>
      <c r="M11" t="s">
        <v>29</v>
      </c>
      <c r="N11" t="s">
        <v>29</v>
      </c>
      <c r="O11" t="s">
        <v>29</v>
      </c>
      <c r="P11" t="s">
        <v>29</v>
      </c>
      <c r="Q11" t="s">
        <v>29</v>
      </c>
      <c r="R11" t="s">
        <v>29</v>
      </c>
      <c r="S11" s="2" t="s">
        <v>64</v>
      </c>
    </row>
    <row r="12" spans="1:19" ht="38.25">
      <c r="A12" s="3" t="str">
        <f>HYPERLINK("https://www.onsemi.com/PowerSolutions/product.do?id=AFGHL50T65SQDC","AFGHL50T65SQDC")</f>
        <v>AFGHL50T65SQDC</v>
      </c>
      <c r="B12" t="str">
        <f>HYPERLINK("https://www.onsemi.com/pub/Collateral/AFGHL50T65SQDC-D.PDF","AFGHL50T65SQDC/D (241kB)")</f>
        <v>AFGHL50T65SQDC/D (241kB)</v>
      </c>
      <c r="C12" t="s">
        <v>90</v>
      </c>
      <c r="D12" s="2" t="s">
        <v>74</v>
      </c>
      <c r="E12" t="s">
        <v>75</v>
      </c>
      <c r="F12" s="2" t="s">
        <v>91</v>
      </c>
      <c r="G12" s="2" t="s">
        <v>92</v>
      </c>
      <c r="H12" s="2" t="s">
        <v>93</v>
      </c>
      <c r="I12" s="2" t="s">
        <v>94</v>
      </c>
      <c r="J12" t="s">
        <v>29</v>
      </c>
      <c r="K12" t="s">
        <v>29</v>
      </c>
      <c r="L12" t="s">
        <v>29</v>
      </c>
      <c r="M12" t="s">
        <v>29</v>
      </c>
      <c r="N12" s="2" t="s">
        <v>95</v>
      </c>
      <c r="O12" t="s">
        <v>29</v>
      </c>
      <c r="P12" t="s">
        <v>29</v>
      </c>
      <c r="Q12" t="s">
        <v>29</v>
      </c>
      <c r="R12" s="2" t="s">
        <v>63</v>
      </c>
      <c r="S12" s="2" t="s">
        <v>64</v>
      </c>
    </row>
    <row r="13" spans="1:19">
      <c r="A13" s="3" t="str">
        <f>HYPERLINK("https://www.onsemi.com/PowerSolutions/product.do?id=FGA15N120ANTDTU","FGA15N120ANTDTU")</f>
        <v>FGA15N120ANTDTU</v>
      </c>
      <c r="B13" t="str">
        <f>HYPERLINK("https://www.onsemi.com/pub/Collateral/FGA15N120ANTDTU-D.PDF","FGA15N120ANTDTU/D (901kB)")</f>
        <v>FGA15N120ANTDTU/D (901kB)</v>
      </c>
      <c r="C13" t="s">
        <v>96</v>
      </c>
      <c r="D13" s="2" t="s">
        <v>20</v>
      </c>
      <c r="E13" t="s">
        <v>75</v>
      </c>
      <c r="F13" s="2" t="s">
        <v>97</v>
      </c>
      <c r="G13" t="s">
        <v>29</v>
      </c>
      <c r="H13" t="s">
        <v>29</v>
      </c>
      <c r="I13" s="2" t="s">
        <v>98</v>
      </c>
      <c r="J13" s="2" t="s">
        <v>66</v>
      </c>
      <c r="K13" s="2" t="s">
        <v>99</v>
      </c>
      <c r="L13" t="s">
        <v>29</v>
      </c>
      <c r="M13" s="2" t="s">
        <v>100</v>
      </c>
      <c r="N13" s="2" t="s">
        <v>101</v>
      </c>
      <c r="O13" s="2" t="s">
        <v>46</v>
      </c>
      <c r="P13" s="2" t="s">
        <v>46</v>
      </c>
      <c r="Q13" s="2" t="s">
        <v>102</v>
      </c>
      <c r="R13" t="s">
        <v>29</v>
      </c>
      <c r="S13" s="2" t="s">
        <v>103</v>
      </c>
    </row>
    <row r="14" spans="1:19">
      <c r="A14" s="3" t="str">
        <f>HYPERLINK("https://www.onsemi.com/PowerSolutions/product.do?id=FGA15S125P","FGA15S125P")</f>
        <v>FGA15S125P</v>
      </c>
      <c r="B14" t="str">
        <f>HYPERLINK("https://www.onsemi.com/pub/Collateral/FGA15S125P-D.pdf","FGA15S125P/D (393kB)")</f>
        <v>FGA15S125P/D (393kB)</v>
      </c>
      <c r="C14" t="s">
        <v>104</v>
      </c>
      <c r="D14" s="2" t="s">
        <v>20</v>
      </c>
      <c r="E14" t="s">
        <v>75</v>
      </c>
      <c r="F14" s="2" t="s">
        <v>105</v>
      </c>
      <c r="G14" s="2" t="s">
        <v>106</v>
      </c>
      <c r="H14" s="2" t="s">
        <v>107</v>
      </c>
      <c r="I14" s="2" t="s">
        <v>108</v>
      </c>
      <c r="J14" s="2" t="s">
        <v>109</v>
      </c>
      <c r="K14" s="2" t="s">
        <v>110</v>
      </c>
      <c r="L14" s="2" t="s">
        <v>46</v>
      </c>
      <c r="M14" s="2" t="s">
        <v>46</v>
      </c>
      <c r="N14" s="2" t="s">
        <v>111</v>
      </c>
      <c r="O14" s="2" t="s">
        <v>46</v>
      </c>
      <c r="P14" s="2" t="s">
        <v>46</v>
      </c>
      <c r="Q14" s="2" t="s">
        <v>112</v>
      </c>
      <c r="R14" s="2" t="s">
        <v>63</v>
      </c>
      <c r="S14" s="2" t="s">
        <v>103</v>
      </c>
    </row>
    <row r="15" spans="1:19">
      <c r="A15" s="3" t="str">
        <f>HYPERLINK("https://www.onsemi.com/PowerSolutions/product.do?id=FGA20N120FTD","FGA20N120FTD")</f>
        <v>FGA20N120FTD</v>
      </c>
      <c r="B15" t="str">
        <f>HYPERLINK("https://www.onsemi.com/pub/Collateral/FGA20N120FTD-D.pdf","FGA20N120FTD/D (414kB)")</f>
        <v>FGA20N120FTD/D (414kB)</v>
      </c>
      <c r="C15" t="s">
        <v>113</v>
      </c>
      <c r="D15" s="2" t="s">
        <v>20</v>
      </c>
      <c r="E15" t="s">
        <v>75</v>
      </c>
      <c r="F15" s="2" t="s">
        <v>97</v>
      </c>
      <c r="G15" s="2" t="s">
        <v>23</v>
      </c>
      <c r="H15" s="2" t="s">
        <v>69</v>
      </c>
      <c r="I15" s="2" t="s">
        <v>25</v>
      </c>
      <c r="J15" s="2" t="s">
        <v>114</v>
      </c>
      <c r="K15" s="2" t="s">
        <v>115</v>
      </c>
      <c r="L15" s="2" t="s">
        <v>116</v>
      </c>
      <c r="M15" s="2" t="s">
        <v>117</v>
      </c>
      <c r="N15" s="2" t="s">
        <v>118</v>
      </c>
      <c r="O15" s="2" t="s">
        <v>46</v>
      </c>
      <c r="P15" s="2" t="s">
        <v>46</v>
      </c>
      <c r="Q15" s="2" t="s">
        <v>119</v>
      </c>
      <c r="R15" s="2" t="s">
        <v>63</v>
      </c>
      <c r="S15" s="2" t="s">
        <v>103</v>
      </c>
    </row>
    <row r="16" spans="1:19">
      <c r="A16" s="3" t="str">
        <f>HYPERLINK("https://www.onsemi.com/PowerSolutions/product.do?id=FGA20S125P","FGA20S125P")</f>
        <v>FGA20S125P</v>
      </c>
      <c r="B16" t="str">
        <f>HYPERLINK("https://www.onsemi.com/pub/Collateral/FGA20S125P-D.pdf","FGA20S125P/D (1247kB)")</f>
        <v>FGA20S125P/D (1247kB)</v>
      </c>
      <c r="C16" t="s">
        <v>120</v>
      </c>
      <c r="D16" s="2" t="s">
        <v>20</v>
      </c>
      <c r="E16" t="s">
        <v>75</v>
      </c>
      <c r="F16" s="2" t="s">
        <v>105</v>
      </c>
      <c r="G16" t="s">
        <v>29</v>
      </c>
      <c r="H16" t="s">
        <v>29</v>
      </c>
      <c r="I16" s="2" t="s">
        <v>121</v>
      </c>
      <c r="J16" s="2" t="s">
        <v>109</v>
      </c>
      <c r="K16" s="2" t="s">
        <v>110</v>
      </c>
      <c r="L16" s="2" t="s">
        <v>46</v>
      </c>
      <c r="M16" s="2" t="s">
        <v>46</v>
      </c>
      <c r="N16" s="2" t="s">
        <v>122</v>
      </c>
      <c r="O16" s="2" t="s">
        <v>46</v>
      </c>
      <c r="P16" s="2" t="s">
        <v>46</v>
      </c>
      <c r="Q16" s="2" t="s">
        <v>123</v>
      </c>
      <c r="R16" t="s">
        <v>29</v>
      </c>
      <c r="S16" s="2" t="s">
        <v>103</v>
      </c>
    </row>
    <row r="17" spans="1:19">
      <c r="A17" s="3" t="str">
        <f>HYPERLINK("https://www.onsemi.com/PowerSolutions/product.do?id=FGA20S140P","FGA20S140P")</f>
        <v>FGA20S140P</v>
      </c>
      <c r="B17" t="str">
        <f>HYPERLINK("https://www.onsemi.com/pub/Collateral/FGA20S140P-D.pdf","FGA20S140P/D (407kB)")</f>
        <v>FGA20S140P/D (407kB)</v>
      </c>
      <c r="C17" t="s">
        <v>124</v>
      </c>
      <c r="D17" s="2" t="s">
        <v>20</v>
      </c>
      <c r="E17" t="s">
        <v>75</v>
      </c>
      <c r="F17" s="2" t="s">
        <v>125</v>
      </c>
      <c r="G17" s="2" t="s">
        <v>23</v>
      </c>
      <c r="H17" s="2" t="s">
        <v>126</v>
      </c>
      <c r="I17" s="2" t="s">
        <v>98</v>
      </c>
      <c r="J17" s="2" t="s">
        <v>127</v>
      </c>
      <c r="K17" s="2" t="s">
        <v>128</v>
      </c>
      <c r="L17" s="2" t="s">
        <v>46</v>
      </c>
      <c r="M17" s="2" t="s">
        <v>46</v>
      </c>
      <c r="N17" s="2" t="s">
        <v>129</v>
      </c>
      <c r="O17" s="2" t="s">
        <v>46</v>
      </c>
      <c r="P17" s="2" t="s">
        <v>46</v>
      </c>
      <c r="Q17" s="2" t="s">
        <v>130</v>
      </c>
      <c r="R17" s="2" t="s">
        <v>63</v>
      </c>
      <c r="S17" s="2" t="s">
        <v>103</v>
      </c>
    </row>
    <row r="18" spans="1:19">
      <c r="A18" s="3" t="str">
        <f>HYPERLINK("https://www.onsemi.com/PowerSolutions/product.do?id=FGA25N120ANTDTU","FGA25N120ANTDTU")</f>
        <v>FGA25N120ANTDTU</v>
      </c>
      <c r="B18" t="str">
        <f>HYPERLINK("https://www.onsemi.com/pub/Collateral/FGA25N120ANTDTU-D.PDF","FGA25N120ANTDTU/D (1382kB)")</f>
        <v>FGA25N120ANTDTU/D (1382kB)</v>
      </c>
      <c r="C18" t="s">
        <v>131</v>
      </c>
      <c r="D18" s="2" t="s">
        <v>20</v>
      </c>
      <c r="E18" t="s">
        <v>75</v>
      </c>
      <c r="F18" s="2" t="s">
        <v>97</v>
      </c>
      <c r="G18" t="s">
        <v>29</v>
      </c>
      <c r="H18" t="s">
        <v>29</v>
      </c>
      <c r="I18" s="2" t="s">
        <v>108</v>
      </c>
      <c r="J18" s="2" t="s">
        <v>132</v>
      </c>
      <c r="K18" s="2" t="s">
        <v>133</v>
      </c>
      <c r="L18" t="s">
        <v>29</v>
      </c>
      <c r="M18" s="2" t="s">
        <v>100</v>
      </c>
      <c r="N18" s="2" t="s">
        <v>134</v>
      </c>
      <c r="O18" s="2" t="s">
        <v>46</v>
      </c>
      <c r="P18" s="2" t="s">
        <v>46</v>
      </c>
      <c r="Q18" s="2" t="s">
        <v>135</v>
      </c>
      <c r="R18" t="s">
        <v>29</v>
      </c>
      <c r="S18" s="2" t="s">
        <v>103</v>
      </c>
    </row>
    <row r="19" spans="1:19">
      <c r="A19" s="3" t="str">
        <f>HYPERLINK("https://www.onsemi.com/PowerSolutions/product.do?id=FGA25S125P","FGA25S125P")</f>
        <v>FGA25S125P</v>
      </c>
      <c r="B19" t="str">
        <f>HYPERLINK("https://www.onsemi.com/pub/Collateral/FGA25S125P-D.PDF","FGA25S125P/D (627kB)")</f>
        <v>FGA25S125P/D (627kB)</v>
      </c>
      <c r="C19" t="s">
        <v>136</v>
      </c>
      <c r="D19" s="2" t="s">
        <v>20</v>
      </c>
      <c r="E19" t="s">
        <v>75</v>
      </c>
      <c r="F19" s="2" t="s">
        <v>105</v>
      </c>
      <c r="G19" t="s">
        <v>29</v>
      </c>
      <c r="H19" t="s">
        <v>29</v>
      </c>
      <c r="I19" s="2" t="s">
        <v>137</v>
      </c>
      <c r="J19" s="2" t="s">
        <v>138</v>
      </c>
      <c r="K19" s="2" t="s">
        <v>139</v>
      </c>
      <c r="L19" s="2" t="s">
        <v>46</v>
      </c>
      <c r="M19" s="2" t="s">
        <v>46</v>
      </c>
      <c r="N19" s="2" t="s">
        <v>140</v>
      </c>
      <c r="O19" s="2" t="s">
        <v>46</v>
      </c>
      <c r="P19" s="2" t="s">
        <v>46</v>
      </c>
      <c r="Q19" s="2" t="s">
        <v>123</v>
      </c>
      <c r="R19" t="s">
        <v>29</v>
      </c>
      <c r="S19" s="2" t="s">
        <v>103</v>
      </c>
    </row>
    <row r="20" spans="1:19" ht="25.5">
      <c r="A20" s="3" t="str">
        <f>HYPERLINK("https://www.onsemi.com/PowerSolutions/product.do?id=FGA3060ADF","FGA3060ADF")</f>
        <v>FGA3060ADF</v>
      </c>
      <c r="B20" t="str">
        <f>HYPERLINK("https://www.onsemi.com/pub/Collateral/FGA3060ADF-D.pdf","FGA3060ADF/D (1209kB)")</f>
        <v>FGA3060ADF/D (1209kB)</v>
      </c>
      <c r="C20" t="s">
        <v>141</v>
      </c>
      <c r="D20" s="2" t="s">
        <v>51</v>
      </c>
      <c r="E20" t="s">
        <v>75</v>
      </c>
      <c r="F20" s="2" t="s">
        <v>142</v>
      </c>
      <c r="G20" s="2" t="s">
        <v>35</v>
      </c>
      <c r="H20" s="2" t="s">
        <v>143</v>
      </c>
      <c r="I20" s="2" t="s">
        <v>69</v>
      </c>
      <c r="J20" s="2" t="s">
        <v>144</v>
      </c>
      <c r="K20" s="2" t="s">
        <v>132</v>
      </c>
      <c r="L20" s="2" t="s">
        <v>145</v>
      </c>
      <c r="M20" s="2" t="s">
        <v>46</v>
      </c>
      <c r="N20" s="2" t="s">
        <v>146</v>
      </c>
      <c r="O20" s="2" t="s">
        <v>46</v>
      </c>
      <c r="P20" s="2" t="s">
        <v>46</v>
      </c>
      <c r="Q20" s="2" t="s">
        <v>147</v>
      </c>
      <c r="R20" s="2" t="s">
        <v>63</v>
      </c>
      <c r="S20" s="2" t="s">
        <v>103</v>
      </c>
    </row>
    <row r="21" spans="1:19">
      <c r="A21" s="3" t="str">
        <f>HYPERLINK("https://www.onsemi.com/PowerSolutions/product.do?id=FGA30N120FTD","FGA30N120FTD")</f>
        <v>FGA30N120FTD</v>
      </c>
      <c r="B21" t="str">
        <f>HYPERLINK("https://www.onsemi.com/pub/Collateral/FGA30N120FTD-D.pdf","FGA30N120FTD/D (528kB)")</f>
        <v>FGA30N120FTD/D (528kB)</v>
      </c>
      <c r="C21" t="s">
        <v>148</v>
      </c>
      <c r="D21" s="2" t="s">
        <v>20</v>
      </c>
      <c r="E21" t="s">
        <v>75</v>
      </c>
      <c r="F21" s="2" t="s">
        <v>97</v>
      </c>
      <c r="G21" s="2" t="s">
        <v>35</v>
      </c>
      <c r="H21" s="2" t="s">
        <v>69</v>
      </c>
      <c r="I21" s="2" t="s">
        <v>25</v>
      </c>
      <c r="J21" s="2" t="s">
        <v>149</v>
      </c>
      <c r="K21" s="2" t="s">
        <v>150</v>
      </c>
      <c r="L21" s="2" t="s">
        <v>151</v>
      </c>
      <c r="M21" s="2" t="s">
        <v>152</v>
      </c>
      <c r="N21" s="2" t="s">
        <v>153</v>
      </c>
      <c r="O21" s="2" t="s">
        <v>46</v>
      </c>
      <c r="P21" s="2" t="s">
        <v>46</v>
      </c>
      <c r="Q21" s="2" t="s">
        <v>154</v>
      </c>
      <c r="R21" s="2" t="s">
        <v>63</v>
      </c>
      <c r="S21" s="2" t="s">
        <v>103</v>
      </c>
    </row>
    <row r="22" spans="1:19">
      <c r="A22" s="3" t="str">
        <f>HYPERLINK("https://www.onsemi.com/PowerSolutions/product.do?id=FGA30N65SMD","FGA30N65SMD")</f>
        <v>FGA30N65SMD</v>
      </c>
      <c r="B22" t="str">
        <f>HYPERLINK("https://www.onsemi.com/pub/Collateral/FGA30N65SMD-D.pdf","FGA30N65SMD/D (1285kB)")</f>
        <v>FGA30N65SMD/D (1285kB)</v>
      </c>
      <c r="C22" t="s">
        <v>155</v>
      </c>
      <c r="D22" s="2" t="s">
        <v>20</v>
      </c>
      <c r="E22" t="s">
        <v>75</v>
      </c>
      <c r="F22" s="2" t="s">
        <v>22</v>
      </c>
      <c r="G22" s="2" t="s">
        <v>35</v>
      </c>
      <c r="H22" s="2" t="s">
        <v>156</v>
      </c>
      <c r="I22" s="2" t="s">
        <v>137</v>
      </c>
      <c r="J22" s="2" t="s">
        <v>157</v>
      </c>
      <c r="K22" s="2" t="s">
        <v>158</v>
      </c>
      <c r="L22" s="2" t="s">
        <v>159</v>
      </c>
      <c r="M22" s="2" t="s">
        <v>46</v>
      </c>
      <c r="N22" s="2" t="s">
        <v>160</v>
      </c>
      <c r="O22" s="2" t="s">
        <v>46</v>
      </c>
      <c r="P22" s="2" t="s">
        <v>46</v>
      </c>
      <c r="Q22" s="2" t="s">
        <v>161</v>
      </c>
      <c r="R22" s="2" t="s">
        <v>63</v>
      </c>
      <c r="S22" s="2" t="s">
        <v>103</v>
      </c>
    </row>
    <row r="23" spans="1:19">
      <c r="A23" s="3" t="str">
        <f>HYPERLINK("https://www.onsemi.com/PowerSolutions/product.do?id=FGA30S120P","FGA30S120P")</f>
        <v>FGA30S120P</v>
      </c>
      <c r="B23" t="str">
        <f>HYPERLINK("https://www.onsemi.com/pub/Collateral/FGA30S120P-D.pdf","FGA30S120P/D (359kB)")</f>
        <v>FGA30S120P/D (359kB)</v>
      </c>
      <c r="C23" t="s">
        <v>162</v>
      </c>
      <c r="D23" s="2" t="s">
        <v>20</v>
      </c>
      <c r="E23" t="s">
        <v>75</v>
      </c>
      <c r="F23" s="2" t="s">
        <v>163</v>
      </c>
      <c r="G23" s="2" t="s">
        <v>35</v>
      </c>
      <c r="H23" s="2" t="s">
        <v>121</v>
      </c>
      <c r="I23" s="2" t="s">
        <v>98</v>
      </c>
      <c r="J23" s="2" t="s">
        <v>164</v>
      </c>
      <c r="K23" s="2" t="s">
        <v>25</v>
      </c>
      <c r="L23" s="2" t="s">
        <v>46</v>
      </c>
      <c r="M23" s="2" t="s">
        <v>46</v>
      </c>
      <c r="N23" s="2" t="s">
        <v>165</v>
      </c>
      <c r="O23" s="2" t="s">
        <v>46</v>
      </c>
      <c r="P23" s="2" t="s">
        <v>46</v>
      </c>
      <c r="Q23" s="2" t="s">
        <v>166</v>
      </c>
      <c r="R23" s="2" t="s">
        <v>63</v>
      </c>
      <c r="S23" s="2" t="s">
        <v>103</v>
      </c>
    </row>
    <row r="24" spans="1:19" ht="25.5">
      <c r="A24" s="3" t="str">
        <f>HYPERLINK("https://www.onsemi.com/PowerSolutions/product.do?id=FGA30T65SHD","FGA30T65SHD")</f>
        <v>FGA30T65SHD</v>
      </c>
      <c r="B24" t="str">
        <f>HYPERLINK("https://www.onsemi.com/pub/Collateral/FGA30T65SHD-D.pdf","FGA30T65SHD/D (761kB)")</f>
        <v>FGA30T65SHD/D (761kB)</v>
      </c>
      <c r="C24" t="s">
        <v>167</v>
      </c>
      <c r="D24" s="2" t="s">
        <v>51</v>
      </c>
      <c r="E24" t="s">
        <v>75</v>
      </c>
      <c r="F24" s="2" t="s">
        <v>22</v>
      </c>
      <c r="G24" s="2" t="s">
        <v>35</v>
      </c>
      <c r="H24" s="2" t="s">
        <v>69</v>
      </c>
      <c r="I24" s="2" t="s">
        <v>168</v>
      </c>
      <c r="J24" s="2" t="s">
        <v>169</v>
      </c>
      <c r="K24" s="2" t="s">
        <v>170</v>
      </c>
      <c r="L24" s="2" t="s">
        <v>171</v>
      </c>
      <c r="M24" s="2" t="s">
        <v>46</v>
      </c>
      <c r="N24" s="2" t="s">
        <v>172</v>
      </c>
      <c r="O24" s="2" t="s">
        <v>46</v>
      </c>
      <c r="P24" s="2" t="s">
        <v>46</v>
      </c>
      <c r="Q24" s="2" t="s">
        <v>88</v>
      </c>
      <c r="R24" s="2" t="s">
        <v>63</v>
      </c>
      <c r="S24" s="2" t="s">
        <v>103</v>
      </c>
    </row>
    <row r="25" spans="1:19" ht="25.5">
      <c r="A25" s="3" t="str">
        <f>HYPERLINK("https://www.onsemi.com/PowerSolutions/product.do?id=FGA4060ADF","FGA4060ADF")</f>
        <v>FGA4060ADF</v>
      </c>
      <c r="B25" t="str">
        <f>HYPERLINK("https://www.onsemi.com/pub/Collateral/FGA4060ADF-D.pdf","FGA4060ADF/D (515kB)")</f>
        <v>FGA4060ADF/D (515kB)</v>
      </c>
      <c r="C25" t="s">
        <v>173</v>
      </c>
      <c r="D25" s="2" t="s">
        <v>51</v>
      </c>
      <c r="E25" t="s">
        <v>75</v>
      </c>
      <c r="F25" s="2" t="s">
        <v>142</v>
      </c>
      <c r="G25" s="2" t="s">
        <v>84</v>
      </c>
      <c r="H25" s="2" t="s">
        <v>143</v>
      </c>
      <c r="I25" s="2" t="s">
        <v>69</v>
      </c>
      <c r="J25" s="2" t="s">
        <v>174</v>
      </c>
      <c r="K25" s="2" t="s">
        <v>175</v>
      </c>
      <c r="L25" s="2" t="s">
        <v>145</v>
      </c>
      <c r="M25" s="2" t="s">
        <v>46</v>
      </c>
      <c r="N25" s="2" t="s">
        <v>176</v>
      </c>
      <c r="O25" s="2" t="s">
        <v>46</v>
      </c>
      <c r="P25" s="2" t="s">
        <v>46</v>
      </c>
      <c r="Q25" s="2" t="s">
        <v>88</v>
      </c>
      <c r="R25" s="2" t="s">
        <v>63</v>
      </c>
      <c r="S25" s="2" t="s">
        <v>103</v>
      </c>
    </row>
    <row r="26" spans="1:19">
      <c r="A26" s="3" t="str">
        <f>HYPERLINK("https://www.onsemi.com/PowerSolutions/product.do?id=FGA40N65SMD","FGA40N65SMD")</f>
        <v>FGA40N65SMD</v>
      </c>
      <c r="B26" t="str">
        <f>HYPERLINK("https://www.onsemi.com/pub/Collateral/FGA40N65SMD-D.pdf","FGA40N65SMD/D (1280kB)")</f>
        <v>FGA40N65SMD/D (1280kB)</v>
      </c>
      <c r="C26" t="s">
        <v>177</v>
      </c>
      <c r="D26" s="2" t="s">
        <v>20</v>
      </c>
      <c r="E26" t="s">
        <v>75</v>
      </c>
      <c r="F26" s="2" t="s">
        <v>22</v>
      </c>
      <c r="G26" s="2" t="s">
        <v>84</v>
      </c>
      <c r="H26" s="2" t="s">
        <v>126</v>
      </c>
      <c r="I26" s="2" t="s">
        <v>137</v>
      </c>
      <c r="J26" s="2" t="s">
        <v>178</v>
      </c>
      <c r="K26" s="2" t="s">
        <v>179</v>
      </c>
      <c r="L26" s="2" t="s">
        <v>134</v>
      </c>
      <c r="M26" s="2" t="s">
        <v>180</v>
      </c>
      <c r="N26" s="2" t="s">
        <v>181</v>
      </c>
      <c r="O26" s="2" t="s">
        <v>46</v>
      </c>
      <c r="P26" s="2" t="s">
        <v>46</v>
      </c>
      <c r="Q26" s="2" t="s">
        <v>182</v>
      </c>
      <c r="R26" s="2" t="s">
        <v>63</v>
      </c>
      <c r="S26" s="2" t="s">
        <v>103</v>
      </c>
    </row>
    <row r="27" spans="1:19" ht="25.5">
      <c r="A27" s="3" t="str">
        <f>HYPERLINK("https://www.onsemi.com/PowerSolutions/product.do?id=FGA40S65SH","FGA40S65SH")</f>
        <v>FGA40S65SH</v>
      </c>
      <c r="B27" t="str">
        <f>HYPERLINK("https://www.onsemi.com/pub/Collateral/FGA40S65SH-D.pdf","FGA40S65SH/D (358kB)")</f>
        <v>FGA40S65SH/D (358kB)</v>
      </c>
      <c r="C27" t="s">
        <v>183</v>
      </c>
      <c r="D27" s="2" t="s">
        <v>51</v>
      </c>
      <c r="E27" t="s">
        <v>75</v>
      </c>
      <c r="F27" s="2" t="s">
        <v>22</v>
      </c>
      <c r="G27" s="2" t="s">
        <v>84</v>
      </c>
      <c r="H27" s="2" t="s">
        <v>24</v>
      </c>
      <c r="I27" s="2" t="s">
        <v>184</v>
      </c>
      <c r="J27" s="2" t="s">
        <v>185</v>
      </c>
      <c r="K27" s="2" t="s">
        <v>186</v>
      </c>
      <c r="L27" s="2" t="s">
        <v>46</v>
      </c>
      <c r="M27" s="2" t="s">
        <v>46</v>
      </c>
      <c r="N27" s="2" t="s">
        <v>187</v>
      </c>
      <c r="O27" s="2" t="s">
        <v>46</v>
      </c>
      <c r="P27" s="2" t="s">
        <v>46</v>
      </c>
      <c r="Q27" s="2" t="s">
        <v>188</v>
      </c>
      <c r="R27" s="2" t="s">
        <v>63</v>
      </c>
      <c r="S27" s="2" t="s">
        <v>103</v>
      </c>
    </row>
    <row r="28" spans="1:19" ht="25.5">
      <c r="A28" s="3" t="str">
        <f>HYPERLINK("https://www.onsemi.com/PowerSolutions/product.do?id=FGA40T65SHD","FGA40T65SHD")</f>
        <v>FGA40T65SHD</v>
      </c>
      <c r="B28" t="str">
        <f>HYPERLINK("https://www.onsemi.com/pub/Collateral/FGA40T65SHD-D.pdf","FGA40T65SHD/D (1487kB)")</f>
        <v>FGA40T65SHD/D (1487kB)</v>
      </c>
      <c r="C28" t="s">
        <v>183</v>
      </c>
      <c r="D28" s="2" t="s">
        <v>51</v>
      </c>
      <c r="E28" t="s">
        <v>75</v>
      </c>
      <c r="F28" s="2" t="s">
        <v>22</v>
      </c>
      <c r="G28" s="2" t="s">
        <v>84</v>
      </c>
      <c r="H28" s="2" t="s">
        <v>69</v>
      </c>
      <c r="I28" s="2" t="s">
        <v>168</v>
      </c>
      <c r="J28" s="2" t="s">
        <v>189</v>
      </c>
      <c r="K28" s="2" t="s">
        <v>190</v>
      </c>
      <c r="L28" s="2" t="s">
        <v>171</v>
      </c>
      <c r="M28" s="2" t="s">
        <v>46</v>
      </c>
      <c r="N28" s="2" t="s">
        <v>191</v>
      </c>
      <c r="O28" s="2" t="s">
        <v>46</v>
      </c>
      <c r="P28" s="2" t="s">
        <v>46</v>
      </c>
      <c r="Q28" s="2" t="s">
        <v>188</v>
      </c>
      <c r="R28" s="2" t="s">
        <v>63</v>
      </c>
      <c r="S28" s="2" t="s">
        <v>103</v>
      </c>
    </row>
    <row r="29" spans="1:19" ht="25.5">
      <c r="A29" s="3" t="str">
        <f>HYPERLINK("https://www.onsemi.com/PowerSolutions/product.do?id=FGA40T65SHDF","FGA40T65SHDF")</f>
        <v>FGA40T65SHDF</v>
      </c>
      <c r="B29" t="str">
        <f>HYPERLINK("https://www.onsemi.com/pub/Collateral/FGA40T65SHDF-D.pdf","FGA40T65SHDF/D (704kB)")</f>
        <v>FGA40T65SHDF/D (704kB)</v>
      </c>
      <c r="C29" t="s">
        <v>183</v>
      </c>
      <c r="D29" s="2" t="s">
        <v>51</v>
      </c>
      <c r="E29" t="s">
        <v>75</v>
      </c>
      <c r="F29" s="2" t="s">
        <v>22</v>
      </c>
      <c r="G29" s="2" t="s">
        <v>84</v>
      </c>
      <c r="H29" s="2" t="s">
        <v>184</v>
      </c>
      <c r="I29" s="2" t="s">
        <v>76</v>
      </c>
      <c r="J29" s="2" t="s">
        <v>192</v>
      </c>
      <c r="K29" s="2" t="s">
        <v>164</v>
      </c>
      <c r="L29" s="2" t="s">
        <v>88</v>
      </c>
      <c r="M29" s="2" t="s">
        <v>46</v>
      </c>
      <c r="N29" s="2" t="s">
        <v>193</v>
      </c>
      <c r="O29" s="2" t="s">
        <v>46</v>
      </c>
      <c r="P29" s="2" t="s">
        <v>46</v>
      </c>
      <c r="Q29" s="2" t="s">
        <v>188</v>
      </c>
      <c r="R29" s="2" t="s">
        <v>63</v>
      </c>
      <c r="S29" s="2" t="s">
        <v>103</v>
      </c>
    </row>
    <row r="30" spans="1:19" ht="25.5">
      <c r="A30" s="3" t="str">
        <f>HYPERLINK("https://www.onsemi.com/PowerSolutions/product.do?id=FGA40T65UQDF","FGA40T65UQDF")</f>
        <v>FGA40T65UQDF</v>
      </c>
      <c r="B30" t="str">
        <f>HYPERLINK("https://www.onsemi.com/pub/Collateral/FGA40T65UQDF-D.pdf","FGA40T65UQDF/D (849kB)")</f>
        <v>FGA40T65UQDF/D (849kB)</v>
      </c>
      <c r="C30" t="s">
        <v>183</v>
      </c>
      <c r="D30" s="2" t="s">
        <v>51</v>
      </c>
      <c r="E30" t="s">
        <v>75</v>
      </c>
      <c r="F30" s="2" t="s">
        <v>22</v>
      </c>
      <c r="G30" s="2" t="s">
        <v>84</v>
      </c>
      <c r="H30" s="2" t="s">
        <v>194</v>
      </c>
      <c r="I30" s="2" t="s">
        <v>76</v>
      </c>
      <c r="J30" s="2" t="s">
        <v>195</v>
      </c>
      <c r="K30" s="2" t="s">
        <v>196</v>
      </c>
      <c r="L30" s="2" t="s">
        <v>197</v>
      </c>
      <c r="M30" s="2" t="s">
        <v>46</v>
      </c>
      <c r="N30" s="2" t="s">
        <v>198</v>
      </c>
      <c r="O30" s="2" t="s">
        <v>46</v>
      </c>
      <c r="P30" s="2" t="s">
        <v>46</v>
      </c>
      <c r="Q30" s="2" t="s">
        <v>199</v>
      </c>
      <c r="R30" s="2" t="s">
        <v>63</v>
      </c>
      <c r="S30" s="2" t="s">
        <v>103</v>
      </c>
    </row>
    <row r="31" spans="1:19" ht="25.5">
      <c r="A31" s="3" t="str">
        <f>HYPERLINK("https://www.onsemi.com/PowerSolutions/product.do?id=FGA5065ADF","FGA5065ADF")</f>
        <v>FGA5065ADF</v>
      </c>
      <c r="B31" t="str">
        <f>HYPERLINK("https://www.onsemi.com/pub/Collateral/FGA5065ADF-D.pdf","FGA5065ADF/D (503kB)")</f>
        <v>FGA5065ADF/D (503kB)</v>
      </c>
      <c r="C31" t="s">
        <v>200</v>
      </c>
      <c r="D31" s="2" t="s">
        <v>51</v>
      </c>
      <c r="E31" t="s">
        <v>75</v>
      </c>
      <c r="F31" s="2" t="s">
        <v>22</v>
      </c>
      <c r="G31" s="2" t="s">
        <v>201</v>
      </c>
      <c r="H31" s="2" t="s">
        <v>98</v>
      </c>
      <c r="I31" s="2" t="s">
        <v>137</v>
      </c>
      <c r="J31" s="2" t="s">
        <v>202</v>
      </c>
      <c r="K31" s="2" t="s">
        <v>203</v>
      </c>
      <c r="L31" s="2" t="s">
        <v>171</v>
      </c>
      <c r="M31" s="2" t="s">
        <v>46</v>
      </c>
      <c r="N31" s="2" t="s">
        <v>191</v>
      </c>
      <c r="O31" s="2" t="s">
        <v>46</v>
      </c>
      <c r="P31" s="2" t="s">
        <v>46</v>
      </c>
      <c r="Q31" s="2" t="s">
        <v>188</v>
      </c>
      <c r="R31" s="2" t="s">
        <v>63</v>
      </c>
      <c r="S31" s="2" t="s">
        <v>103</v>
      </c>
    </row>
    <row r="32" spans="1:19">
      <c r="A32" s="3" t="str">
        <f>HYPERLINK("https://www.onsemi.com/PowerSolutions/product.do?id=FGA50N100BNTD","FGA50N100BNTD")</f>
        <v>FGA50N100BNTD</v>
      </c>
      <c r="B32" t="str">
        <f>HYPERLINK("https://www.onsemi.com/pub/Collateral/FGA50N100BNTD-D.pdf","FGA50N100BNTD/D (348kB)")</f>
        <v>FGA50N100BNTD/D (348kB)</v>
      </c>
      <c r="C32" t="s">
        <v>204</v>
      </c>
      <c r="D32" s="2" t="s">
        <v>20</v>
      </c>
      <c r="E32" t="s">
        <v>75</v>
      </c>
      <c r="F32" s="2" t="s">
        <v>205</v>
      </c>
      <c r="G32" s="2" t="s">
        <v>159</v>
      </c>
      <c r="H32" s="2" t="s">
        <v>206</v>
      </c>
      <c r="I32" s="2" t="s">
        <v>207</v>
      </c>
      <c r="J32" s="2" t="s">
        <v>46</v>
      </c>
      <c r="K32" s="2" t="s">
        <v>46</v>
      </c>
      <c r="L32" s="2" t="s">
        <v>207</v>
      </c>
      <c r="M32" s="2" t="s">
        <v>46</v>
      </c>
      <c r="N32" s="2" t="s">
        <v>208</v>
      </c>
      <c r="O32" s="2" t="s">
        <v>46</v>
      </c>
      <c r="P32" s="2" t="s">
        <v>46</v>
      </c>
      <c r="Q32" s="2" t="s">
        <v>209</v>
      </c>
      <c r="R32" s="2" t="s">
        <v>63</v>
      </c>
      <c r="S32" s="2" t="s">
        <v>103</v>
      </c>
    </row>
    <row r="33" spans="1:19" ht="25.5">
      <c r="A33" s="3" t="str">
        <f>HYPERLINK("https://www.onsemi.com/PowerSolutions/product.do?id=FGA50N100BNTD2","FGA50N100BNTD2")</f>
        <v>FGA50N100BNTD2</v>
      </c>
      <c r="B33" t="str">
        <f>HYPERLINK("https://www.onsemi.com/pub/Collateral/FGA50N100BNTD2-D.pdf","FGA50N100BNTD2/D (455kB)")</f>
        <v>FGA50N100BNTD2/D (455kB)</v>
      </c>
      <c r="C33" t="s">
        <v>204</v>
      </c>
      <c r="D33" s="2" t="s">
        <v>51</v>
      </c>
      <c r="E33" t="s">
        <v>75</v>
      </c>
      <c r="F33" s="2" t="s">
        <v>205</v>
      </c>
      <c r="G33" s="2" t="s">
        <v>159</v>
      </c>
      <c r="H33" s="2" t="s">
        <v>206</v>
      </c>
      <c r="I33" s="2" t="s">
        <v>210</v>
      </c>
      <c r="J33" s="2" t="s">
        <v>46</v>
      </c>
      <c r="K33" s="2" t="s">
        <v>46</v>
      </c>
      <c r="L33" s="2" t="s">
        <v>211</v>
      </c>
      <c r="M33" s="2" t="s">
        <v>46</v>
      </c>
      <c r="N33" s="2" t="s">
        <v>212</v>
      </c>
      <c r="O33" s="2" t="s">
        <v>46</v>
      </c>
      <c r="P33" s="2" t="s">
        <v>46</v>
      </c>
      <c r="Q33" s="2" t="s">
        <v>209</v>
      </c>
      <c r="R33" s="2" t="s">
        <v>63</v>
      </c>
      <c r="S33" s="2" t="s">
        <v>103</v>
      </c>
    </row>
    <row r="34" spans="1:19">
      <c r="A34" s="3" t="str">
        <f>HYPERLINK("https://www.onsemi.com/PowerSolutions/product.do?id=FGA50S110P","FGA50S110P")</f>
        <v>FGA50S110P</v>
      </c>
      <c r="B34" t="str">
        <f>HYPERLINK("https://www.onsemi.com/pub/Collateral/FGA50S110P-D.pdf","FGA50S110P/D (431kB)")</f>
        <v>FGA50S110P/D (431kB)</v>
      </c>
      <c r="C34" t="s">
        <v>213</v>
      </c>
      <c r="D34" s="2" t="s">
        <v>20</v>
      </c>
      <c r="E34" t="s">
        <v>75</v>
      </c>
      <c r="F34" s="2" t="s">
        <v>214</v>
      </c>
      <c r="G34" s="2" t="s">
        <v>35</v>
      </c>
      <c r="H34" s="2" t="s">
        <v>215</v>
      </c>
      <c r="I34" s="2" t="s">
        <v>216</v>
      </c>
      <c r="J34" s="2" t="s">
        <v>217</v>
      </c>
      <c r="K34" s="2" t="s">
        <v>218</v>
      </c>
      <c r="L34" s="2" t="s">
        <v>46</v>
      </c>
      <c r="M34" s="2" t="s">
        <v>46</v>
      </c>
      <c r="N34" s="2" t="s">
        <v>219</v>
      </c>
      <c r="O34" s="2" t="s">
        <v>46</v>
      </c>
      <c r="P34" s="2" t="s">
        <v>46</v>
      </c>
      <c r="Q34" s="2" t="s">
        <v>161</v>
      </c>
      <c r="R34" s="2" t="s">
        <v>63</v>
      </c>
      <c r="S34" s="2" t="s">
        <v>103</v>
      </c>
    </row>
    <row r="35" spans="1:19" ht="25.5">
      <c r="A35" s="3" t="str">
        <f>HYPERLINK("https://www.onsemi.com/PowerSolutions/product.do?id=FGA50T65SHD","FGA50T65SHD")</f>
        <v>FGA50T65SHD</v>
      </c>
      <c r="B35" t="str">
        <f>HYPERLINK("https://www.onsemi.com/pub/Collateral/FGA50T65SHD-D.pdf","FGA50T65SHD/D (2165kB)")</f>
        <v>FGA50T65SHD/D (2165kB)</v>
      </c>
      <c r="C35" t="s">
        <v>220</v>
      </c>
      <c r="D35" s="2" t="s">
        <v>51</v>
      </c>
      <c r="E35" t="s">
        <v>75</v>
      </c>
      <c r="F35" s="2" t="s">
        <v>22</v>
      </c>
      <c r="G35" s="2" t="s">
        <v>201</v>
      </c>
      <c r="H35" s="2" t="s">
        <v>69</v>
      </c>
      <c r="I35" s="2" t="s">
        <v>221</v>
      </c>
      <c r="J35" s="2" t="s">
        <v>222</v>
      </c>
      <c r="K35" s="2" t="s">
        <v>223</v>
      </c>
      <c r="L35" s="2" t="s">
        <v>224</v>
      </c>
      <c r="M35" s="2" t="s">
        <v>46</v>
      </c>
      <c r="N35" s="2" t="s">
        <v>160</v>
      </c>
      <c r="O35" s="2" t="s">
        <v>46</v>
      </c>
      <c r="P35" s="2" t="s">
        <v>46</v>
      </c>
      <c r="Q35" s="2" t="s">
        <v>225</v>
      </c>
      <c r="R35" s="2" t="s">
        <v>63</v>
      </c>
      <c r="S35" s="2" t="s">
        <v>103</v>
      </c>
    </row>
    <row r="36" spans="1:19" ht="25.5">
      <c r="A36" s="3" t="str">
        <f>HYPERLINK("https://www.onsemi.com/PowerSolutions/product.do?id=FGA6065ADF","FGA6065ADF")</f>
        <v>FGA6065ADF</v>
      </c>
      <c r="B36" t="str">
        <f>HYPERLINK("https://www.onsemi.com/pub/Collateral/FGA6065ADF-D.pdf","FGA6065ADF/D (511kB)")</f>
        <v>FGA6065ADF/D (511kB)</v>
      </c>
      <c r="C36" t="s">
        <v>226</v>
      </c>
      <c r="D36" s="2" t="s">
        <v>51</v>
      </c>
      <c r="E36" t="s">
        <v>75</v>
      </c>
      <c r="F36" s="2" t="s">
        <v>22</v>
      </c>
      <c r="G36" s="2" t="s">
        <v>211</v>
      </c>
      <c r="H36" s="2" t="s">
        <v>143</v>
      </c>
      <c r="I36" s="2" t="s">
        <v>143</v>
      </c>
      <c r="J36" s="2" t="s">
        <v>227</v>
      </c>
      <c r="K36" s="2" t="s">
        <v>228</v>
      </c>
      <c r="L36" s="2" t="s">
        <v>229</v>
      </c>
      <c r="M36" s="2" t="s">
        <v>46</v>
      </c>
      <c r="N36" s="2" t="s">
        <v>230</v>
      </c>
      <c r="O36" s="2" t="s">
        <v>46</v>
      </c>
      <c r="P36" s="2" t="s">
        <v>46</v>
      </c>
      <c r="Q36" s="2" t="s">
        <v>198</v>
      </c>
      <c r="R36" s="2" t="s">
        <v>32</v>
      </c>
      <c r="S36" s="2" t="s">
        <v>103</v>
      </c>
    </row>
    <row r="37" spans="1:19">
      <c r="A37" s="3" t="str">
        <f>HYPERLINK("https://www.onsemi.com/PowerSolutions/product.do?id=FGA60N60UFD","FGA60N60UFD")</f>
        <v>FGA60N60UFD</v>
      </c>
      <c r="B37" t="str">
        <f>HYPERLINK("https://www.onsemi.com/pub/Collateral/FGA60N60UFD-D.pdf","FGA60N60UFD/D (708kB)")</f>
        <v>FGA60N60UFD/D (708kB)</v>
      </c>
      <c r="C37" t="s">
        <v>231</v>
      </c>
      <c r="D37" s="2" t="s">
        <v>20</v>
      </c>
      <c r="E37" t="s">
        <v>75</v>
      </c>
      <c r="F37" s="2" t="s">
        <v>142</v>
      </c>
      <c r="G37" s="2" t="s">
        <v>211</v>
      </c>
      <c r="H37" s="2" t="s">
        <v>126</v>
      </c>
      <c r="I37" s="2" t="s">
        <v>108</v>
      </c>
      <c r="J37" s="2" t="s">
        <v>232</v>
      </c>
      <c r="K37" s="2" t="s">
        <v>233</v>
      </c>
      <c r="L37" s="2" t="s">
        <v>234</v>
      </c>
      <c r="M37" s="2" t="s">
        <v>46</v>
      </c>
      <c r="N37" s="2" t="s">
        <v>235</v>
      </c>
      <c r="O37" s="2" t="s">
        <v>46</v>
      </c>
      <c r="P37" s="2" t="s">
        <v>46</v>
      </c>
      <c r="Q37" s="2" t="s">
        <v>119</v>
      </c>
      <c r="R37" s="2" t="s">
        <v>63</v>
      </c>
      <c r="S37" s="2" t="s">
        <v>103</v>
      </c>
    </row>
    <row r="38" spans="1:19">
      <c r="A38" s="3" t="str">
        <f>HYPERLINK("https://www.onsemi.com/PowerSolutions/product.do?id=FGA60N65SMD","FGA60N65SMD")</f>
        <v>FGA60N65SMD</v>
      </c>
      <c r="B38" t="str">
        <f>HYPERLINK("https://www.onsemi.com/pub/Collateral/FGA60N65SMD-D.pdf","FGA60N65SMD/D (433kB)")</f>
        <v>FGA60N65SMD/D (433kB)</v>
      </c>
      <c r="C38" t="s">
        <v>236</v>
      </c>
      <c r="D38" s="2" t="s">
        <v>20</v>
      </c>
      <c r="E38" t="s">
        <v>75</v>
      </c>
      <c r="F38" s="2" t="s">
        <v>22</v>
      </c>
      <c r="G38" s="2" t="s">
        <v>211</v>
      </c>
      <c r="H38" s="2" t="s">
        <v>126</v>
      </c>
      <c r="I38" s="2" t="s">
        <v>137</v>
      </c>
      <c r="J38" s="2" t="s">
        <v>237</v>
      </c>
      <c r="K38" s="2" t="s">
        <v>238</v>
      </c>
      <c r="L38" s="2" t="s">
        <v>239</v>
      </c>
      <c r="M38" s="2" t="s">
        <v>46</v>
      </c>
      <c r="N38" s="2" t="s">
        <v>240</v>
      </c>
      <c r="O38" s="2" t="s">
        <v>46</v>
      </c>
      <c r="P38" s="2" t="s">
        <v>46</v>
      </c>
      <c r="Q38" s="2" t="s">
        <v>142</v>
      </c>
      <c r="R38" s="2" t="s">
        <v>63</v>
      </c>
      <c r="S38" s="2" t="s">
        <v>103</v>
      </c>
    </row>
    <row r="39" spans="1:19" ht="25.5">
      <c r="A39" s="3" t="str">
        <f>HYPERLINK("https://www.onsemi.com/PowerSolutions/product.do?id=FGA6530WDF","FGA6530WDF")</f>
        <v>FGA6530WDF</v>
      </c>
      <c r="B39" t="str">
        <f>HYPERLINK("https://www.onsemi.com/pub/Collateral/FGA6530WDF-D.pdf","FGA6530WDF/D (496kB)")</f>
        <v>FGA6530WDF/D (496kB)</v>
      </c>
      <c r="C39" t="s">
        <v>167</v>
      </c>
      <c r="D39" s="2" t="s">
        <v>51</v>
      </c>
      <c r="E39" t="s">
        <v>75</v>
      </c>
      <c r="F39" s="2" t="s">
        <v>22</v>
      </c>
      <c r="G39" s="2" t="s">
        <v>35</v>
      </c>
      <c r="H39" s="2" t="s">
        <v>143</v>
      </c>
      <c r="I39" s="2" t="s">
        <v>98</v>
      </c>
      <c r="J39" s="2" t="s">
        <v>242</v>
      </c>
      <c r="K39" s="2" t="s">
        <v>132</v>
      </c>
      <c r="L39" s="2" t="s">
        <v>243</v>
      </c>
      <c r="M39" s="2" t="s">
        <v>46</v>
      </c>
      <c r="N39" s="2" t="s">
        <v>146</v>
      </c>
      <c r="O39" s="2" t="s">
        <v>46</v>
      </c>
      <c r="P39" s="2" t="s">
        <v>46</v>
      </c>
      <c r="Q39" s="2" t="s">
        <v>147</v>
      </c>
      <c r="R39" s="2" t="s">
        <v>63</v>
      </c>
      <c r="S39" s="2" t="s">
        <v>103</v>
      </c>
    </row>
    <row r="40" spans="1:19" ht="25.5">
      <c r="A40" s="3" t="str">
        <f>HYPERLINK("https://www.onsemi.com/PowerSolutions/product.do?id=FGA6540WDF","FGA6540WDF")</f>
        <v>FGA6540WDF</v>
      </c>
      <c r="B40" t="str">
        <f>HYPERLINK("https://www.onsemi.com/pub/Collateral/FGA6540WDF-D.pdf","FGA6540WDF/D (2553kB)")</f>
        <v>FGA6540WDF/D (2553kB)</v>
      </c>
      <c r="C40" t="s">
        <v>183</v>
      </c>
      <c r="D40" s="2" t="s">
        <v>51</v>
      </c>
      <c r="E40" t="s">
        <v>75</v>
      </c>
      <c r="F40" s="2" t="s">
        <v>22</v>
      </c>
      <c r="G40" s="2" t="s">
        <v>84</v>
      </c>
      <c r="H40" s="2" t="s">
        <v>143</v>
      </c>
      <c r="I40" s="2" t="s">
        <v>76</v>
      </c>
      <c r="J40" s="2" t="s">
        <v>174</v>
      </c>
      <c r="K40" s="2" t="s">
        <v>175</v>
      </c>
      <c r="L40" s="2" t="s">
        <v>88</v>
      </c>
      <c r="M40" s="2" t="s">
        <v>46</v>
      </c>
      <c r="N40" s="2" t="s">
        <v>176</v>
      </c>
      <c r="O40" s="2" t="s">
        <v>46</v>
      </c>
      <c r="P40" s="2" t="s">
        <v>46</v>
      </c>
      <c r="Q40" s="2" t="s">
        <v>88</v>
      </c>
      <c r="R40" s="2" t="s">
        <v>63</v>
      </c>
      <c r="S40" s="2" t="s">
        <v>103</v>
      </c>
    </row>
    <row r="41" spans="1:19" ht="25.5">
      <c r="A41" s="3" t="str">
        <f>HYPERLINK("https://www.onsemi.com/PowerSolutions/product.do?id=FGA6560WDF","FGA6560WDF")</f>
        <v>FGA6560WDF</v>
      </c>
      <c r="B41" t="str">
        <f>HYPERLINK("https://www.onsemi.com/pub/Collateral/FGA6560WDF-D.pdf","FGA6560WDF/D (2542kB)")</f>
        <v>FGA6560WDF/D (2542kB)</v>
      </c>
      <c r="C41" t="s">
        <v>226</v>
      </c>
      <c r="D41" s="2" t="s">
        <v>51</v>
      </c>
      <c r="E41" t="s">
        <v>75</v>
      </c>
      <c r="F41" s="2" t="s">
        <v>22</v>
      </c>
      <c r="G41" s="2" t="s">
        <v>211</v>
      </c>
      <c r="H41" s="2" t="s">
        <v>143</v>
      </c>
      <c r="I41" s="2" t="s">
        <v>143</v>
      </c>
      <c r="J41" s="2" t="s">
        <v>227</v>
      </c>
      <c r="K41" s="2" t="s">
        <v>228</v>
      </c>
      <c r="L41" s="2" t="s">
        <v>229</v>
      </c>
      <c r="M41" s="2" t="s">
        <v>46</v>
      </c>
      <c r="N41" s="2" t="s">
        <v>230</v>
      </c>
      <c r="O41" s="2" t="s">
        <v>46</v>
      </c>
      <c r="P41" s="2" t="s">
        <v>46</v>
      </c>
      <c r="Q41" s="2" t="s">
        <v>198</v>
      </c>
      <c r="R41" s="2" t="s">
        <v>63</v>
      </c>
      <c r="S41" s="2" t="s">
        <v>103</v>
      </c>
    </row>
    <row r="42" spans="1:19">
      <c r="A42" s="3" t="str">
        <f>HYPERLINK("https://www.onsemi.com/PowerSolutions/product.do?id=FGAF20N60SMD","FGAF20N60SMD")</f>
        <v>FGAF20N60SMD</v>
      </c>
      <c r="B42" t="str">
        <f>HYPERLINK("https://www.onsemi.com/pub/Collateral/FGAF20N60SMD-D.pdf","FGAF20N60SMD/D (1058kB)")</f>
        <v>FGAF20N60SMD/D (1058kB)</v>
      </c>
      <c r="C42" t="s">
        <v>244</v>
      </c>
      <c r="D42" s="2" t="s">
        <v>20</v>
      </c>
      <c r="E42" t="s">
        <v>75</v>
      </c>
      <c r="F42" s="2" t="s">
        <v>142</v>
      </c>
      <c r="G42" s="2" t="s">
        <v>23</v>
      </c>
      <c r="H42" s="2" t="s">
        <v>98</v>
      </c>
      <c r="I42" s="2" t="s">
        <v>221</v>
      </c>
      <c r="J42" s="2" t="s">
        <v>245</v>
      </c>
      <c r="K42" s="2" t="s">
        <v>246</v>
      </c>
      <c r="L42" s="2" t="s">
        <v>247</v>
      </c>
      <c r="M42" s="2" t="s">
        <v>46</v>
      </c>
      <c r="N42" s="2" t="s">
        <v>248</v>
      </c>
      <c r="O42" s="2" t="s">
        <v>46</v>
      </c>
      <c r="P42" s="2" t="s">
        <v>46</v>
      </c>
      <c r="Q42" s="2" t="s">
        <v>31</v>
      </c>
      <c r="R42" s="2" t="s">
        <v>63</v>
      </c>
      <c r="S42" s="2" t="s">
        <v>33</v>
      </c>
    </row>
    <row r="43" spans="1:19">
      <c r="A43" s="3" t="str">
        <f>HYPERLINK("https://www.onsemi.com/PowerSolutions/product.do?id=FGAF40N60SMD","FGAF40N60SMD")</f>
        <v>FGAF40N60SMD</v>
      </c>
      <c r="B43" t="str">
        <f>HYPERLINK("https://www.onsemi.com/pub/Collateral/FGAF40N60SMD-D.pdf","FGAF40N60SMD/D (508kB)")</f>
        <v>FGAF40N60SMD/D (508kB)</v>
      </c>
      <c r="C43" t="s">
        <v>249</v>
      </c>
      <c r="D43" s="2" t="s">
        <v>20</v>
      </c>
      <c r="E43" t="s">
        <v>75</v>
      </c>
      <c r="F43" s="2" t="s">
        <v>142</v>
      </c>
      <c r="G43" s="2" t="s">
        <v>84</v>
      </c>
      <c r="H43" s="2" t="s">
        <v>126</v>
      </c>
      <c r="I43" s="2" t="s">
        <v>221</v>
      </c>
      <c r="J43" s="2" t="s">
        <v>178</v>
      </c>
      <c r="K43" s="2" t="s">
        <v>250</v>
      </c>
      <c r="L43" s="2" t="s">
        <v>251</v>
      </c>
      <c r="M43" s="2" t="s">
        <v>46</v>
      </c>
      <c r="N43" s="2" t="s">
        <v>181</v>
      </c>
      <c r="O43" s="2" t="s">
        <v>46</v>
      </c>
      <c r="P43" s="2" t="s">
        <v>46</v>
      </c>
      <c r="Q43" s="2" t="s">
        <v>252</v>
      </c>
      <c r="R43" s="2" t="s">
        <v>63</v>
      </c>
      <c r="S43" s="2" t="s">
        <v>33</v>
      </c>
    </row>
    <row r="44" spans="1:19">
      <c r="A44" s="3" t="str">
        <f>HYPERLINK("https://www.onsemi.com/PowerSolutions/product.do?id=FGAF40N60UF","FGAF40N60UF")</f>
        <v>FGAF40N60UF</v>
      </c>
      <c r="B44" t="str">
        <f>HYPERLINK("https://www.onsemi.com/pub/Collateral/FGAF40N60UF-D.pdf","FGAF40N60UF/D (405kB)")</f>
        <v>FGAF40N60UF/D (405kB)</v>
      </c>
      <c r="C44" t="s">
        <v>253</v>
      </c>
      <c r="D44" s="2" t="s">
        <v>20</v>
      </c>
      <c r="E44" t="s">
        <v>75</v>
      </c>
      <c r="F44" s="2" t="s">
        <v>142</v>
      </c>
      <c r="G44" s="2" t="s">
        <v>23</v>
      </c>
      <c r="H44" s="2" t="s">
        <v>221</v>
      </c>
      <c r="I44" s="2" t="s">
        <v>46</v>
      </c>
      <c r="J44" s="2" t="s">
        <v>254</v>
      </c>
      <c r="K44" s="2" t="s">
        <v>255</v>
      </c>
      <c r="L44" s="2" t="s">
        <v>46</v>
      </c>
      <c r="M44" s="2" t="s">
        <v>46</v>
      </c>
      <c r="N44" s="2" t="s">
        <v>256</v>
      </c>
      <c r="O44" s="2" t="s">
        <v>46</v>
      </c>
      <c r="P44" s="2" t="s">
        <v>46</v>
      </c>
      <c r="Q44" s="2" t="s">
        <v>257</v>
      </c>
      <c r="R44" s="2" t="s">
        <v>32</v>
      </c>
      <c r="S44" s="2" t="s">
        <v>33</v>
      </c>
    </row>
    <row r="45" spans="1:19">
      <c r="A45" s="3" t="str">
        <f>HYPERLINK("https://www.onsemi.com/PowerSolutions/product.do?id=FGAF40S65AQ","FGAF40S65AQ")</f>
        <v>FGAF40S65AQ</v>
      </c>
      <c r="B45" t="str">
        <f>HYPERLINK("https://www.onsemi.com/pub/Collateral/FGAF40S65AQ-D.PDF","FGAF40S65AQ/D (685kB)")</f>
        <v>FGAF40S65AQ/D (685kB)</v>
      </c>
      <c r="C45" t="s">
        <v>183</v>
      </c>
      <c r="D45" s="2" t="s">
        <v>20</v>
      </c>
      <c r="E45" t="s">
        <v>75</v>
      </c>
      <c r="F45" s="2" t="s">
        <v>22</v>
      </c>
      <c r="G45" s="2" t="s">
        <v>84</v>
      </c>
      <c r="H45" s="2" t="s">
        <v>69</v>
      </c>
      <c r="I45" s="2" t="s">
        <v>258</v>
      </c>
      <c r="J45" s="2" t="s">
        <v>259</v>
      </c>
      <c r="K45" s="2" t="s">
        <v>260</v>
      </c>
      <c r="L45" s="2" t="s">
        <v>261</v>
      </c>
      <c r="M45" s="2" t="s">
        <v>46</v>
      </c>
      <c r="N45" s="2" t="s">
        <v>31</v>
      </c>
      <c r="O45" s="2" t="s">
        <v>46</v>
      </c>
      <c r="P45" s="2" t="s">
        <v>46</v>
      </c>
      <c r="Q45" s="2" t="s">
        <v>95</v>
      </c>
      <c r="R45" s="2" t="s">
        <v>32</v>
      </c>
      <c r="S45" s="2" t="s">
        <v>33</v>
      </c>
    </row>
    <row r="46" spans="1:19" ht="25.5">
      <c r="A46" s="3" t="str">
        <f>HYPERLINK("https://www.onsemi.com/PowerSolutions/product.do?id=FGB20N60SF","FGB20N60SF")</f>
        <v>FGB20N60SF</v>
      </c>
      <c r="B46" t="str">
        <f>HYPERLINK("https://www.onsemi.com/pub/Collateral/FGB20N60SF-D.pdf","FGB20N60SF/D (688kB)")</f>
        <v>FGB20N60SF/D (688kB)</v>
      </c>
      <c r="C46" t="s">
        <v>262</v>
      </c>
      <c r="D46" s="2" t="s">
        <v>51</v>
      </c>
      <c r="E46" t="s">
        <v>75</v>
      </c>
      <c r="F46" s="2" t="s">
        <v>142</v>
      </c>
      <c r="G46" s="2" t="s">
        <v>23</v>
      </c>
      <c r="H46" s="2" t="s">
        <v>168</v>
      </c>
      <c r="I46" s="2" t="s">
        <v>46</v>
      </c>
      <c r="J46" s="2" t="s">
        <v>77</v>
      </c>
      <c r="K46" s="2" t="s">
        <v>263</v>
      </c>
      <c r="L46" s="2" t="s">
        <v>46</v>
      </c>
      <c r="M46" s="2" t="s">
        <v>46</v>
      </c>
      <c r="N46" s="2" t="s">
        <v>264</v>
      </c>
      <c r="O46" s="2" t="s">
        <v>46</v>
      </c>
      <c r="P46" s="2" t="s">
        <v>46</v>
      </c>
      <c r="Q46" s="2" t="s">
        <v>153</v>
      </c>
      <c r="R46" s="2" t="s">
        <v>32</v>
      </c>
      <c r="S46" s="2" t="s">
        <v>82</v>
      </c>
    </row>
    <row r="47" spans="1:19" ht="25.5">
      <c r="A47" s="3" t="str">
        <f>HYPERLINK("https://www.onsemi.com/PowerSolutions/product.do?id=FGB20N60SFD","FGB20N60SFD")</f>
        <v>FGB20N60SFD</v>
      </c>
      <c r="B47" t="str">
        <f>HYPERLINK("https://www.onsemi.com/pub/Collateral/FGB20N60SFD-D.pdf","FGB20N60SFD/D (518kB)")</f>
        <v>FGB20N60SFD/D (518kB)</v>
      </c>
      <c r="C47" t="s">
        <v>244</v>
      </c>
      <c r="D47" s="2" t="s">
        <v>51</v>
      </c>
      <c r="E47" t="s">
        <v>75</v>
      </c>
      <c r="F47" s="2" t="s">
        <v>142</v>
      </c>
      <c r="G47" s="2" t="s">
        <v>23</v>
      </c>
      <c r="H47" s="2" t="s">
        <v>168</v>
      </c>
      <c r="I47" s="2" t="s">
        <v>126</v>
      </c>
      <c r="J47" s="2" t="s">
        <v>77</v>
      </c>
      <c r="K47" s="2" t="s">
        <v>263</v>
      </c>
      <c r="L47" s="2" t="s">
        <v>265</v>
      </c>
      <c r="M47" s="2" t="s">
        <v>46</v>
      </c>
      <c r="N47" s="2" t="s">
        <v>264</v>
      </c>
      <c r="O47" s="2" t="s">
        <v>46</v>
      </c>
      <c r="P47" s="2" t="s">
        <v>46</v>
      </c>
      <c r="Q47" s="2" t="s">
        <v>153</v>
      </c>
      <c r="R47" s="2" t="s">
        <v>63</v>
      </c>
      <c r="S47" s="2" t="s">
        <v>82</v>
      </c>
    </row>
    <row r="48" spans="1:19" ht="38.25">
      <c r="A48" s="3" t="str">
        <f>HYPERLINK("https://www.onsemi.com/PowerSolutions/product.do?id=FGB20N60S_F085","FGB20N60S_F085")</f>
        <v>FGB20N60S_F085</v>
      </c>
      <c r="B48" t="str">
        <f>HYPERLINK("https://www.onsemi.com/pub/Collateral/FGB20N60S_F085-D.PDF","FGB20N60S_F085/D (758kB)")</f>
        <v>FGB20N60S_F085/D (758kB)</v>
      </c>
      <c r="C48" t="s">
        <v>266</v>
      </c>
      <c r="D48" s="2" t="s">
        <v>74</v>
      </c>
      <c r="E48" t="s">
        <v>75</v>
      </c>
      <c r="F48" s="2" t="s">
        <v>142</v>
      </c>
      <c r="G48" s="2" t="s">
        <v>84</v>
      </c>
      <c r="H48" t="s">
        <v>29</v>
      </c>
      <c r="I48" s="2" t="s">
        <v>126</v>
      </c>
      <c r="J48" s="2" t="s">
        <v>254</v>
      </c>
      <c r="K48" s="2" t="s">
        <v>195</v>
      </c>
      <c r="L48" s="2" t="s">
        <v>267</v>
      </c>
      <c r="M48" s="2" t="s">
        <v>46</v>
      </c>
      <c r="N48" s="2" t="s">
        <v>268</v>
      </c>
      <c r="O48" s="2" t="s">
        <v>46</v>
      </c>
      <c r="P48" s="2" t="s">
        <v>46</v>
      </c>
      <c r="Q48" s="2" t="s">
        <v>153</v>
      </c>
      <c r="R48" t="s">
        <v>29</v>
      </c>
      <c r="S48" s="2" t="s">
        <v>82</v>
      </c>
    </row>
    <row r="49" spans="1:19" ht="38.25">
      <c r="A49" s="3" t="str">
        <f>HYPERLINK("https://www.onsemi.com/PowerSolutions/product.do?id=FGB3040CS_F085","FGB3040CS_F085")</f>
        <v>FGB3040CS_F085</v>
      </c>
      <c r="B49" t="str">
        <f>HYPERLINK("https://www.onsemi.com/pub/Collateral/FGB3040CS_F085-D.PDF","FGB3040CS_F085/D (827kB)")</f>
        <v>FGB3040CS_F085/D (827kB)</v>
      </c>
      <c r="C49" t="s">
        <v>269</v>
      </c>
      <c r="D49" s="2" t="s">
        <v>74</v>
      </c>
      <c r="E49" t="s">
        <v>75</v>
      </c>
      <c r="F49" s="2" t="s">
        <v>270</v>
      </c>
      <c r="G49" s="2" t="s">
        <v>271</v>
      </c>
      <c r="H49" s="2" t="s">
        <v>272</v>
      </c>
      <c r="I49" s="2" t="s">
        <v>46</v>
      </c>
      <c r="J49" s="2" t="s">
        <v>46</v>
      </c>
      <c r="K49" s="2" t="s">
        <v>46</v>
      </c>
      <c r="L49" s="2" t="s">
        <v>273</v>
      </c>
      <c r="M49" s="2" t="s">
        <v>46</v>
      </c>
      <c r="N49" s="2" t="s">
        <v>106</v>
      </c>
      <c r="O49" s="2" t="s">
        <v>46</v>
      </c>
      <c r="P49" s="2" t="s">
        <v>46</v>
      </c>
      <c r="Q49" s="2" t="s">
        <v>48</v>
      </c>
      <c r="R49" s="2" t="s">
        <v>63</v>
      </c>
      <c r="S49" s="2" t="s">
        <v>274</v>
      </c>
    </row>
    <row r="50" spans="1:19" ht="51">
      <c r="A50" s="3" t="str">
        <f>HYPERLINK("https://www.onsemi.com/PowerSolutions/product.do?id=FGB3040G2-F085C","FGB3040G2-F085C")</f>
        <v>FGB3040G2-F085C</v>
      </c>
      <c r="B50" t="str">
        <f>HYPERLINK("https://www.onsemi.com/pub/Collateral/FGX3040G2-F085C-D.PDF","FGX3040G2-F085C/D (798kB)")</f>
        <v>FGX3040G2-F085C/D (798kB)</v>
      </c>
      <c r="C50" t="s">
        <v>275</v>
      </c>
      <c r="D50" s="2" t="s">
        <v>42</v>
      </c>
      <c r="E50" t="s">
        <v>75</v>
      </c>
      <c r="F50" s="2" t="s">
        <v>67</v>
      </c>
      <c r="G50" s="2" t="s">
        <v>145</v>
      </c>
      <c r="H50" s="2" t="s">
        <v>76</v>
      </c>
      <c r="I50" t="s">
        <v>29</v>
      </c>
      <c r="J50" t="s">
        <v>29</v>
      </c>
      <c r="K50" t="s">
        <v>29</v>
      </c>
      <c r="L50" s="2" t="s">
        <v>276</v>
      </c>
      <c r="M50" t="s">
        <v>29</v>
      </c>
      <c r="N50" s="2" t="s">
        <v>277</v>
      </c>
      <c r="O50" t="s">
        <v>29</v>
      </c>
      <c r="P50" t="s">
        <v>29</v>
      </c>
      <c r="Q50" s="2" t="s">
        <v>48</v>
      </c>
      <c r="R50" t="s">
        <v>29</v>
      </c>
      <c r="S50" s="2" t="s">
        <v>82</v>
      </c>
    </row>
    <row r="51" spans="1:19" ht="51">
      <c r="A51" s="3" t="str">
        <f>HYPERLINK("https://www.onsemi.com/PowerSolutions/product.do?id=FGB3040G2_F085","FGB3040G2_F085")</f>
        <v>FGB3040G2_F085</v>
      </c>
      <c r="B51" t="str">
        <f>HYPERLINK("https://www.onsemi.com/pub/Collateral/FGI3040G2_F085-D.PDF","FGI3040G2_F085/D (1595kB)")</f>
        <v>FGI3040G2_F085/D (1595kB)</v>
      </c>
      <c r="C51" t="s">
        <v>275</v>
      </c>
      <c r="D51" s="2" t="s">
        <v>42</v>
      </c>
      <c r="E51" t="s">
        <v>75</v>
      </c>
      <c r="F51" s="2" t="s">
        <v>46</v>
      </c>
      <c r="G51" t="s">
        <v>29</v>
      </c>
      <c r="H51" t="s">
        <v>29</v>
      </c>
      <c r="I51" s="2" t="s">
        <v>46</v>
      </c>
      <c r="J51" s="2" t="s">
        <v>46</v>
      </c>
      <c r="K51" s="2" t="s">
        <v>46</v>
      </c>
      <c r="L51" s="2" t="s">
        <v>276</v>
      </c>
      <c r="M51" s="2" t="s">
        <v>46</v>
      </c>
      <c r="N51" s="2" t="s">
        <v>277</v>
      </c>
      <c r="O51" s="2" t="s">
        <v>46</v>
      </c>
      <c r="P51" s="2" t="s">
        <v>46</v>
      </c>
      <c r="Q51" s="2" t="s">
        <v>48</v>
      </c>
      <c r="R51" s="2" t="s">
        <v>46</v>
      </c>
      <c r="S51" s="2" t="s">
        <v>82</v>
      </c>
    </row>
    <row r="52" spans="1:19" ht="51">
      <c r="A52" s="3" t="str">
        <f>HYPERLINK("https://www.onsemi.com/PowerSolutions/product.do?id=FGB3056_F085","FGB3056_F085")</f>
        <v>FGB3056_F085</v>
      </c>
      <c r="B52" t="str">
        <f>HYPERLINK("https://www.onsemi.com/pub/Collateral/FGB3056_F085-D.PDF","FGB3056_F085/D (3525kB)")</f>
        <v>FGB3056_F085/D (3525kB)</v>
      </c>
      <c r="C52" t="s">
        <v>278</v>
      </c>
      <c r="D52" s="2" t="s">
        <v>42</v>
      </c>
      <c r="E52" t="s">
        <v>75</v>
      </c>
      <c r="F52" s="2" t="s">
        <v>279</v>
      </c>
      <c r="G52" s="2" t="s">
        <v>280</v>
      </c>
      <c r="H52" s="2" t="s">
        <v>279</v>
      </c>
      <c r="I52" s="2" t="s">
        <v>46</v>
      </c>
      <c r="J52" s="2" t="s">
        <v>46</v>
      </c>
      <c r="K52" s="2" t="s">
        <v>46</v>
      </c>
      <c r="L52" s="2" t="s">
        <v>281</v>
      </c>
      <c r="M52" s="2" t="s">
        <v>46</v>
      </c>
      <c r="N52" s="2" t="s">
        <v>282</v>
      </c>
      <c r="O52" s="2" t="s">
        <v>46</v>
      </c>
      <c r="P52" s="2" t="s">
        <v>46</v>
      </c>
      <c r="Q52" s="2" t="s">
        <v>134</v>
      </c>
      <c r="R52" s="2" t="s">
        <v>46</v>
      </c>
      <c r="S52" s="2" t="s">
        <v>82</v>
      </c>
    </row>
    <row r="53" spans="1:19" ht="38.25">
      <c r="A53" s="3" t="str">
        <f>HYPERLINK("https://www.onsemi.com/PowerSolutions/product.do?id=FGB3236_F085","FGB3236_F085")</f>
        <v>FGB3236_F085</v>
      </c>
      <c r="B53" t="str">
        <f>HYPERLINK("https://www.onsemi.com/pub/Collateral/FGI3236-F085-D.pdf","FGI3236_F085/D (1018kB)")</f>
        <v>FGI3236_F085/D (1018kB)</v>
      </c>
      <c r="C53" t="s">
        <v>283</v>
      </c>
      <c r="D53" s="2" t="s">
        <v>74</v>
      </c>
      <c r="E53" t="s">
        <v>75</v>
      </c>
      <c r="F53" s="2" t="s">
        <v>43</v>
      </c>
      <c r="G53" t="s">
        <v>29</v>
      </c>
      <c r="H53" t="s">
        <v>29</v>
      </c>
      <c r="I53" s="2" t="s">
        <v>46</v>
      </c>
      <c r="J53" s="2" t="s">
        <v>46</v>
      </c>
      <c r="K53" s="2" t="s">
        <v>46</v>
      </c>
      <c r="L53" s="2" t="s">
        <v>284</v>
      </c>
      <c r="M53" s="2" t="s">
        <v>46</v>
      </c>
      <c r="N53" s="2" t="s">
        <v>46</v>
      </c>
      <c r="O53" s="2" t="s">
        <v>46</v>
      </c>
      <c r="P53" s="2" t="s">
        <v>46</v>
      </c>
      <c r="Q53" s="2" t="s">
        <v>285</v>
      </c>
      <c r="R53" s="2" t="s">
        <v>63</v>
      </c>
      <c r="S53" s="2" t="s">
        <v>82</v>
      </c>
    </row>
    <row r="54" spans="1:19" ht="51">
      <c r="A54" s="3" t="str">
        <f>HYPERLINK("https://www.onsemi.com/PowerSolutions/product.do?id=FGB3245G2_F085","FGB3245G2_F085")</f>
        <v>FGB3245G2_F085</v>
      </c>
      <c r="B54" t="str">
        <f>HYPERLINK("https://www.onsemi.com/pub/Collateral/FGD3245G2_F085-D.PDF","FGD3245G2_F085/D (1112kB)")</f>
        <v>FGD3245G2_F085/D (1112kB)</v>
      </c>
      <c r="C54" t="s">
        <v>286</v>
      </c>
      <c r="D54" s="2" t="s">
        <v>42</v>
      </c>
      <c r="E54" t="s">
        <v>75</v>
      </c>
      <c r="F54" s="2" t="s">
        <v>287</v>
      </c>
      <c r="G54" t="s">
        <v>29</v>
      </c>
      <c r="H54" t="s">
        <v>29</v>
      </c>
      <c r="I54" s="2" t="s">
        <v>46</v>
      </c>
      <c r="J54" s="2" t="s">
        <v>46</v>
      </c>
      <c r="K54" s="2" t="s">
        <v>46</v>
      </c>
      <c r="L54" s="2" t="s">
        <v>288</v>
      </c>
      <c r="M54" s="2" t="s">
        <v>46</v>
      </c>
      <c r="N54" s="2" t="s">
        <v>46</v>
      </c>
      <c r="O54" s="2" t="s">
        <v>46</v>
      </c>
      <c r="P54" s="2" t="s">
        <v>46</v>
      </c>
      <c r="Q54" s="2" t="s">
        <v>48</v>
      </c>
      <c r="R54" s="2" t="s">
        <v>63</v>
      </c>
      <c r="S54" s="2" t="s">
        <v>82</v>
      </c>
    </row>
    <row r="55" spans="1:19" ht="51">
      <c r="A55" s="3" t="str">
        <f>HYPERLINK("https://www.onsemi.com/PowerSolutions/product.do?id=FGB3440G2_F085","FGB3440G2_F085")</f>
        <v>FGB3440G2_F085</v>
      </c>
      <c r="B55" t="str">
        <f>HYPERLINK("https://www.onsemi.com/pub/Collateral/FGB3440G2-F085-D.pdf","FGB3440G2_F085/D (580kB)")</f>
        <v>FGB3440G2_F085/D (580kB)</v>
      </c>
      <c r="C55" t="s">
        <v>289</v>
      </c>
      <c r="D55" s="2" t="s">
        <v>42</v>
      </c>
      <c r="E55" t="s">
        <v>75</v>
      </c>
      <c r="F55" s="2" t="s">
        <v>67</v>
      </c>
      <c r="G55" t="s">
        <v>29</v>
      </c>
      <c r="H55" t="s">
        <v>29</v>
      </c>
      <c r="I55" s="2" t="s">
        <v>46</v>
      </c>
      <c r="J55" s="2" t="s">
        <v>46</v>
      </c>
      <c r="K55" s="2" t="s">
        <v>46</v>
      </c>
      <c r="L55" s="2" t="s">
        <v>290</v>
      </c>
      <c r="M55" s="2" t="s">
        <v>46</v>
      </c>
      <c r="N55" s="2" t="s">
        <v>46</v>
      </c>
      <c r="O55" s="2" t="s">
        <v>46</v>
      </c>
      <c r="P55" s="2" t="s">
        <v>46</v>
      </c>
      <c r="Q55" s="2" t="s">
        <v>291</v>
      </c>
      <c r="R55" s="2" t="s">
        <v>46</v>
      </c>
      <c r="S55" s="2" t="s">
        <v>82</v>
      </c>
    </row>
    <row r="56" spans="1:19" ht="25.5">
      <c r="A56" s="3" t="str">
        <f>HYPERLINK("https://www.onsemi.com/PowerSolutions/product.do?id=FGB40N60SM","FGB40N60SM")</f>
        <v>FGB40N60SM</v>
      </c>
      <c r="B56" t="str">
        <f>HYPERLINK("https://www.onsemi.com/pub/Collateral/FGB40N60SM-D.pdf","FGB40N60SM/D (491kB)")</f>
        <v>FGB40N60SM/D (491kB)</v>
      </c>
      <c r="C56" t="s">
        <v>249</v>
      </c>
      <c r="D56" s="2" t="s">
        <v>51</v>
      </c>
      <c r="E56" t="s">
        <v>75</v>
      </c>
      <c r="F56" s="2" t="s">
        <v>142</v>
      </c>
      <c r="G56" s="2" t="s">
        <v>84</v>
      </c>
      <c r="H56" s="2" t="s">
        <v>126</v>
      </c>
      <c r="I56" s="2" t="s">
        <v>46</v>
      </c>
      <c r="J56" s="2" t="s">
        <v>178</v>
      </c>
      <c r="K56" s="2" t="s">
        <v>250</v>
      </c>
      <c r="L56" s="2" t="s">
        <v>46</v>
      </c>
      <c r="M56" s="2" t="s">
        <v>46</v>
      </c>
      <c r="N56" s="2" t="s">
        <v>181</v>
      </c>
      <c r="O56" s="2" t="s">
        <v>46</v>
      </c>
      <c r="P56" s="2" t="s">
        <v>46</v>
      </c>
      <c r="Q56" s="2" t="s">
        <v>182</v>
      </c>
      <c r="R56" s="2" t="s">
        <v>32</v>
      </c>
      <c r="S56" s="2" t="s">
        <v>82</v>
      </c>
    </row>
    <row r="57" spans="1:19" ht="38.25">
      <c r="A57" s="3" t="str">
        <f>HYPERLINK("https://www.onsemi.com/PowerSolutions/product.do?id=FGB40T65SP_F085","FGB40T65SP_F085")</f>
        <v>FGB40T65SP_F085</v>
      </c>
      <c r="B57" t="str">
        <f>HYPERLINK("https://www.onsemi.com/pub/Collateral/FGB40T65SP_F085-D.PDF","FGB40T65SP_F085/D (1195kB)")</f>
        <v>FGB40T65SP_F085/D (1195kB)</v>
      </c>
      <c r="C57" t="s">
        <v>292</v>
      </c>
      <c r="D57" s="2" t="s">
        <v>74</v>
      </c>
      <c r="E57" t="s">
        <v>75</v>
      </c>
      <c r="F57" s="2" t="s">
        <v>22</v>
      </c>
      <c r="G57" t="s">
        <v>29</v>
      </c>
      <c r="H57" t="s">
        <v>29</v>
      </c>
      <c r="I57" s="2" t="s">
        <v>108</v>
      </c>
      <c r="J57" s="2" t="s">
        <v>293</v>
      </c>
      <c r="K57" s="2" t="s">
        <v>294</v>
      </c>
      <c r="L57" t="s">
        <v>29</v>
      </c>
      <c r="M57" s="2" t="s">
        <v>46</v>
      </c>
      <c r="N57" s="2" t="s">
        <v>295</v>
      </c>
      <c r="O57" s="2" t="s">
        <v>296</v>
      </c>
      <c r="P57" s="2" t="s">
        <v>46</v>
      </c>
      <c r="Q57" s="2" t="s">
        <v>38</v>
      </c>
      <c r="R57" t="s">
        <v>29</v>
      </c>
      <c r="S57" s="2" t="s">
        <v>82</v>
      </c>
    </row>
    <row r="58" spans="1:19" ht="25.5">
      <c r="A58" s="3" t="str">
        <f>HYPERLINK("https://www.onsemi.com/PowerSolutions/product.do?id=FGB5N60UNDF","FGB5N60UNDF")</f>
        <v>FGB5N60UNDF</v>
      </c>
      <c r="B58" t="str">
        <f>HYPERLINK("https://www.onsemi.com/pub/Collateral/FGB5N60UNDF-D.pdf","FGB5N60UNDF/D (462kB)")</f>
        <v>FGB5N60UNDF/D (462kB)</v>
      </c>
      <c r="C58" t="s">
        <v>297</v>
      </c>
      <c r="D58" s="2" t="s">
        <v>51</v>
      </c>
      <c r="E58" t="s">
        <v>75</v>
      </c>
      <c r="F58" s="2" t="s">
        <v>142</v>
      </c>
      <c r="G58" s="2" t="s">
        <v>296</v>
      </c>
      <c r="H58" s="2" t="s">
        <v>126</v>
      </c>
      <c r="I58" s="2" t="s">
        <v>98</v>
      </c>
      <c r="J58" s="2" t="s">
        <v>298</v>
      </c>
      <c r="K58" s="2" t="s">
        <v>299</v>
      </c>
      <c r="L58" s="2" t="s">
        <v>160</v>
      </c>
      <c r="M58" s="2" t="s">
        <v>46</v>
      </c>
      <c r="N58" s="2" t="s">
        <v>300</v>
      </c>
      <c r="O58" s="2" t="s">
        <v>46</v>
      </c>
      <c r="P58" s="2" t="s">
        <v>46</v>
      </c>
      <c r="Q58" s="2" t="s">
        <v>301</v>
      </c>
      <c r="R58" s="2" t="s">
        <v>63</v>
      </c>
      <c r="S58" s="2" t="s">
        <v>82</v>
      </c>
    </row>
    <row r="59" spans="1:19" ht="25.5">
      <c r="A59" s="3" t="str">
        <f>HYPERLINK("https://www.onsemi.com/PowerSolutions/product.do?id=FGB7N60UNDF","FGB7N60UNDF")</f>
        <v>FGB7N60UNDF</v>
      </c>
      <c r="B59" t="str">
        <f>HYPERLINK("https://www.onsemi.com/pub/Collateral/FGB7N60UNDF-D.pdf","FGB7N60UNDF/D (365kB)")</f>
        <v>FGB7N60UNDF/D (365kB)</v>
      </c>
      <c r="C59" t="s">
        <v>302</v>
      </c>
      <c r="D59" s="2" t="s">
        <v>51</v>
      </c>
      <c r="E59" t="s">
        <v>75</v>
      </c>
      <c r="F59" s="2" t="s">
        <v>142</v>
      </c>
      <c r="G59" s="2" t="s">
        <v>303</v>
      </c>
      <c r="H59" s="2" t="s">
        <v>126</v>
      </c>
      <c r="I59" s="2" t="s">
        <v>98</v>
      </c>
      <c r="J59" s="2" t="s">
        <v>304</v>
      </c>
      <c r="K59" s="2" t="s">
        <v>305</v>
      </c>
      <c r="L59" s="2" t="s">
        <v>306</v>
      </c>
      <c r="M59" s="2" t="s">
        <v>46</v>
      </c>
      <c r="N59" s="2" t="s">
        <v>44</v>
      </c>
      <c r="O59" s="2" t="s">
        <v>46</v>
      </c>
      <c r="P59" s="2" t="s">
        <v>46</v>
      </c>
      <c r="Q59" s="2" t="s">
        <v>40</v>
      </c>
      <c r="R59" s="2" t="s">
        <v>63</v>
      </c>
      <c r="S59" s="2" t="s">
        <v>82</v>
      </c>
    </row>
    <row r="60" spans="1:19" ht="51">
      <c r="A60" s="3" t="str">
        <f>HYPERLINK("https://www.onsemi.com/PowerSolutions/product.do?id=FGBS3040_F085","FGBS3040_F085")</f>
        <v>FGBS3040_F085</v>
      </c>
      <c r="B60" t="str">
        <f>HYPERLINK("https://www.onsemi.com/pub/Collateral/FGBS3040_F085-D.PDF","FGBS3040_F085/D (464kB)")</f>
        <v>FGBS3040_F085/D (464kB)</v>
      </c>
      <c r="C60" t="s">
        <v>307</v>
      </c>
      <c r="D60" s="2" t="s">
        <v>42</v>
      </c>
      <c r="E60" t="s">
        <v>75</v>
      </c>
      <c r="F60" s="2" t="s">
        <v>142</v>
      </c>
      <c r="G60" s="2" t="s">
        <v>308</v>
      </c>
      <c r="H60" s="2" t="s">
        <v>46</v>
      </c>
      <c r="I60" s="2" t="s">
        <v>46</v>
      </c>
      <c r="J60" s="2" t="s">
        <v>46</v>
      </c>
      <c r="K60" s="2" t="s">
        <v>46</v>
      </c>
      <c r="L60" s="2" t="s">
        <v>46</v>
      </c>
      <c r="M60" s="2" t="s">
        <v>46</v>
      </c>
      <c r="N60" s="2" t="s">
        <v>46</v>
      </c>
      <c r="O60" s="2" t="s">
        <v>46</v>
      </c>
      <c r="P60" s="2" t="s">
        <v>46</v>
      </c>
      <c r="Q60" s="2" t="s">
        <v>48</v>
      </c>
      <c r="R60" s="2" t="s">
        <v>46</v>
      </c>
      <c r="S60" s="2" t="s">
        <v>309</v>
      </c>
    </row>
    <row r="61" spans="1:19" ht="51">
      <c r="A61" s="3" t="str">
        <f>HYPERLINK("https://www.onsemi.com/PowerSolutions/product.do?id=FGD2736G3_F085","FGD2736G3_F085")</f>
        <v>FGD2736G3_F085</v>
      </c>
      <c r="B61" t="str">
        <f>HYPERLINK("https://www.onsemi.com/pub/Collateral/FGD2736G3_F085-D.PDF","FGD2736G3_F085/D (1007kB)")</f>
        <v>FGD2736G3_F085/D (1007kB)</v>
      </c>
      <c r="C61" t="s">
        <v>41</v>
      </c>
      <c r="D61" s="2" t="s">
        <v>42</v>
      </c>
      <c r="E61" t="s">
        <v>75</v>
      </c>
      <c r="F61" s="2" t="s">
        <v>43</v>
      </c>
      <c r="G61" t="s">
        <v>29</v>
      </c>
      <c r="H61" t="s">
        <v>29</v>
      </c>
      <c r="I61" s="2" t="s">
        <v>46</v>
      </c>
      <c r="J61" s="2" t="s">
        <v>46</v>
      </c>
      <c r="K61" s="2" t="s">
        <v>46</v>
      </c>
      <c r="L61" s="2" t="s">
        <v>47</v>
      </c>
      <c r="M61" s="2" t="s">
        <v>46</v>
      </c>
      <c r="N61" s="2" t="s">
        <v>46</v>
      </c>
      <c r="O61" s="2" t="s">
        <v>46</v>
      </c>
      <c r="P61" s="2" t="s">
        <v>46</v>
      </c>
      <c r="Q61" s="2" t="s">
        <v>48</v>
      </c>
      <c r="R61" s="2" t="s">
        <v>46</v>
      </c>
      <c r="S61" s="2" t="s">
        <v>310</v>
      </c>
    </row>
    <row r="62" spans="1:19" ht="51">
      <c r="A62" s="3" t="str">
        <f>HYPERLINK("https://www.onsemi.com/PowerSolutions/product.do?id=FGD3040G2-F085C","FGD3040G2-F085C")</f>
        <v>FGD3040G2-F085C</v>
      </c>
      <c r="B62" t="str">
        <f>HYPERLINK("https://www.onsemi.com/pub/Collateral/FGX3040G2-F085C-D.PDF","FGX3040G2-F085C/D (798kB)")</f>
        <v>FGX3040G2-F085C/D (798kB)</v>
      </c>
      <c r="C62" t="s">
        <v>311</v>
      </c>
      <c r="D62" s="2" t="s">
        <v>42</v>
      </c>
      <c r="E62" t="s">
        <v>75</v>
      </c>
      <c r="F62" s="2" t="s">
        <v>67</v>
      </c>
      <c r="G62" s="2" t="s">
        <v>145</v>
      </c>
      <c r="H62" s="2" t="s">
        <v>76</v>
      </c>
      <c r="I62" t="s">
        <v>29</v>
      </c>
      <c r="J62" t="s">
        <v>29</v>
      </c>
      <c r="K62" t="s">
        <v>29</v>
      </c>
      <c r="L62" s="2" t="s">
        <v>276</v>
      </c>
      <c r="M62" t="s">
        <v>29</v>
      </c>
      <c r="N62" s="2" t="s">
        <v>277</v>
      </c>
      <c r="O62" t="s">
        <v>29</v>
      </c>
      <c r="P62" t="s">
        <v>29</v>
      </c>
      <c r="Q62" s="2" t="s">
        <v>48</v>
      </c>
      <c r="R62" t="s">
        <v>29</v>
      </c>
      <c r="S62" s="2" t="s">
        <v>310</v>
      </c>
    </row>
    <row r="63" spans="1:19" ht="51">
      <c r="A63" s="3" t="str">
        <f>HYPERLINK("https://www.onsemi.com/PowerSolutions/product.do?id=FGD3040G2-F085V","FGD3040G2-F085V")</f>
        <v>FGD3040G2-F085V</v>
      </c>
      <c r="B63" t="str">
        <f>HYPERLINK("https://www.onsemi.com/pub/Collateral/FGD3040G2-F085V-D.PDF","FGD3040G2-F085V/D (781kB)")</f>
        <v>FGD3040G2-F085V/D (781kB)</v>
      </c>
      <c r="C63" t="s">
        <v>311</v>
      </c>
      <c r="D63" s="2" t="s">
        <v>42</v>
      </c>
      <c r="E63" t="s">
        <v>75</v>
      </c>
      <c r="F63" t="s">
        <v>29</v>
      </c>
      <c r="G63" t="s">
        <v>29</v>
      </c>
      <c r="H63" t="s">
        <v>29</v>
      </c>
      <c r="I63" t="s">
        <v>29</v>
      </c>
      <c r="J63" t="s">
        <v>29</v>
      </c>
      <c r="K63" t="s">
        <v>29</v>
      </c>
      <c r="L63" t="s">
        <v>29</v>
      </c>
      <c r="M63" t="s">
        <v>29</v>
      </c>
      <c r="N63" t="s">
        <v>29</v>
      </c>
      <c r="O63" t="s">
        <v>29</v>
      </c>
      <c r="P63" t="s">
        <v>29</v>
      </c>
      <c r="Q63" t="s">
        <v>29</v>
      </c>
      <c r="R63" t="s">
        <v>29</v>
      </c>
      <c r="S63" s="2" t="s">
        <v>49</v>
      </c>
    </row>
    <row r="64" spans="1:19" ht="51">
      <c r="A64" s="3" t="str">
        <f>HYPERLINK("https://www.onsemi.com/PowerSolutions/product.do?id=FGD3040G2_F085","FGD3040G2_F085")</f>
        <v>FGD3040G2_F085</v>
      </c>
      <c r="B64" t="str">
        <f>HYPERLINK("https://www.onsemi.com/pub/Collateral/FGI3040G2_F085-D.PDF","FGI3040G2_F085/D (1595kB)")</f>
        <v>FGI3040G2_F085/D (1595kB)</v>
      </c>
      <c r="C64" t="s">
        <v>312</v>
      </c>
      <c r="D64" s="2" t="s">
        <v>42</v>
      </c>
      <c r="E64" t="s">
        <v>75</v>
      </c>
      <c r="F64" s="2" t="s">
        <v>67</v>
      </c>
      <c r="G64" t="s">
        <v>29</v>
      </c>
      <c r="H64" t="s">
        <v>29</v>
      </c>
      <c r="I64" s="2" t="s">
        <v>46</v>
      </c>
      <c r="J64" s="2" t="s">
        <v>46</v>
      </c>
      <c r="K64" s="2" t="s">
        <v>46</v>
      </c>
      <c r="L64" s="2" t="s">
        <v>276</v>
      </c>
      <c r="M64" s="2" t="s">
        <v>46</v>
      </c>
      <c r="N64" s="2" t="s">
        <v>277</v>
      </c>
      <c r="O64" s="2" t="s">
        <v>46</v>
      </c>
      <c r="P64" s="2" t="s">
        <v>46</v>
      </c>
      <c r="Q64" s="2" t="s">
        <v>48</v>
      </c>
      <c r="R64" s="2" t="s">
        <v>46</v>
      </c>
      <c r="S64" s="2" t="s">
        <v>310</v>
      </c>
    </row>
    <row r="65" spans="1:19" ht="51">
      <c r="A65" s="3" t="str">
        <f>HYPERLINK("https://www.onsemi.com/PowerSolutions/product.do?id=FGD3050G2","FGD3050G2")</f>
        <v>FGD3050G2</v>
      </c>
      <c r="B65" t="str">
        <f>HYPERLINK("https://www.onsemi.com/pub/Collateral/FGD3050G2-D.PDF","FGD3050G2/D (752kB)")</f>
        <v>FGD3050G2/D (752kB)</v>
      </c>
      <c r="C65" t="s">
        <v>313</v>
      </c>
      <c r="D65" s="2" t="s">
        <v>42</v>
      </c>
      <c r="E65" t="s">
        <v>75</v>
      </c>
      <c r="F65" s="2" t="s">
        <v>314</v>
      </c>
      <c r="G65" s="2" t="s">
        <v>315</v>
      </c>
      <c r="H65" s="2" t="s">
        <v>316</v>
      </c>
      <c r="I65" t="s">
        <v>29</v>
      </c>
      <c r="J65" t="s">
        <v>29</v>
      </c>
      <c r="K65" s="2" t="s">
        <v>161</v>
      </c>
      <c r="L65" s="2" t="s">
        <v>69</v>
      </c>
      <c r="M65" t="s">
        <v>29</v>
      </c>
      <c r="N65" s="2" t="s">
        <v>317</v>
      </c>
      <c r="O65" t="s">
        <v>29</v>
      </c>
      <c r="P65" s="2" t="s">
        <v>161</v>
      </c>
      <c r="Q65" s="2" t="s">
        <v>48</v>
      </c>
      <c r="R65" t="s">
        <v>29</v>
      </c>
      <c r="S65" s="2" t="s">
        <v>310</v>
      </c>
    </row>
    <row r="66" spans="1:19" ht="51">
      <c r="A66" s="3" t="str">
        <f>HYPERLINK("https://www.onsemi.com/PowerSolutions/product.do?id=FGD3050G2V","FGD3050G2V")</f>
        <v>FGD3050G2V</v>
      </c>
      <c r="B66" t="str">
        <f>HYPERLINK("https://www.onsemi.com/pub/Collateral/FGD3050G2V-D.PDF","FGD3050G2V/D (535kB)")</f>
        <v>FGD3050G2V/D (535kB)</v>
      </c>
      <c r="C66" t="s">
        <v>313</v>
      </c>
      <c r="D66" s="2" t="s">
        <v>42</v>
      </c>
      <c r="E66" t="s">
        <v>75</v>
      </c>
      <c r="F66" t="s">
        <v>29</v>
      </c>
      <c r="G66" t="s">
        <v>29</v>
      </c>
      <c r="H66" t="s">
        <v>29</v>
      </c>
      <c r="I66" t="s">
        <v>29</v>
      </c>
      <c r="J66" t="s">
        <v>29</v>
      </c>
      <c r="K66" t="s">
        <v>29</v>
      </c>
      <c r="L66" t="s">
        <v>29</v>
      </c>
      <c r="M66" t="s">
        <v>29</v>
      </c>
      <c r="N66" t="s">
        <v>29</v>
      </c>
      <c r="O66" t="s">
        <v>29</v>
      </c>
      <c r="P66" t="s">
        <v>29</v>
      </c>
      <c r="Q66" t="s">
        <v>29</v>
      </c>
      <c r="R66" t="s">
        <v>29</v>
      </c>
      <c r="S66" s="2" t="s">
        <v>49</v>
      </c>
    </row>
    <row r="67" spans="1:19" ht="51">
      <c r="A67" s="3" t="str">
        <f>HYPERLINK("https://www.onsemi.com/PowerSolutions/product.do?id=FGD3245G2-F085C","FGD3245G2-F085C")</f>
        <v>FGD3245G2-F085C</v>
      </c>
      <c r="B67" t="str">
        <f>HYPERLINK("https://www.onsemi.com/pub/Collateral/FGD3245G2-F085C-D.PDF","FGD3245G2-F085C/D (2902kB)")</f>
        <v>FGD3245G2-F085C/D (2902kB)</v>
      </c>
      <c r="C67" t="s">
        <v>318</v>
      </c>
      <c r="D67" s="2" t="s">
        <v>42</v>
      </c>
      <c r="E67" t="s">
        <v>75</v>
      </c>
      <c r="F67" s="2" t="s">
        <v>287</v>
      </c>
      <c r="G67" s="2" t="s">
        <v>319</v>
      </c>
      <c r="H67" s="2" t="s">
        <v>320</v>
      </c>
      <c r="I67" t="s">
        <v>29</v>
      </c>
      <c r="J67" t="s">
        <v>29</v>
      </c>
      <c r="K67" t="s">
        <v>29</v>
      </c>
      <c r="L67" s="2" t="s">
        <v>288</v>
      </c>
      <c r="M67" t="s">
        <v>29</v>
      </c>
      <c r="N67" s="2" t="s">
        <v>319</v>
      </c>
      <c r="O67" t="s">
        <v>29</v>
      </c>
      <c r="P67" t="s">
        <v>29</v>
      </c>
      <c r="Q67" s="2" t="s">
        <v>48</v>
      </c>
      <c r="R67" t="s">
        <v>29</v>
      </c>
      <c r="S67" s="2" t="s">
        <v>310</v>
      </c>
    </row>
    <row r="68" spans="1:19" ht="51">
      <c r="A68" s="3" t="str">
        <f>HYPERLINK("https://www.onsemi.com/PowerSolutions/product.do?id=FGD3245G2-F085V","FGD3245G2-F085V")</f>
        <v>FGD3245G2-F085V</v>
      </c>
      <c r="B68" t="str">
        <f>HYPERLINK("https://www.onsemi.com/pub/Collateral/FGD3245G2-F085V-D.PDF","FGD3245G2-F085V/D (2145kB)")</f>
        <v>FGD3245G2-F085V/D (2145kB)</v>
      </c>
      <c r="C68" t="s">
        <v>318</v>
      </c>
      <c r="D68" s="2" t="s">
        <v>42</v>
      </c>
      <c r="E68" t="s">
        <v>75</v>
      </c>
      <c r="F68" t="s">
        <v>29</v>
      </c>
      <c r="G68" t="s">
        <v>29</v>
      </c>
      <c r="H68" t="s">
        <v>29</v>
      </c>
      <c r="I68" t="s">
        <v>29</v>
      </c>
      <c r="J68" t="s">
        <v>29</v>
      </c>
      <c r="K68" t="s">
        <v>29</v>
      </c>
      <c r="L68" t="s">
        <v>29</v>
      </c>
      <c r="M68" t="s">
        <v>29</v>
      </c>
      <c r="N68" t="s">
        <v>29</v>
      </c>
      <c r="O68" t="s">
        <v>29</v>
      </c>
      <c r="P68" t="s">
        <v>29</v>
      </c>
      <c r="Q68" t="s">
        <v>29</v>
      </c>
      <c r="R68" t="s">
        <v>29</v>
      </c>
      <c r="S68" s="2" t="s">
        <v>49</v>
      </c>
    </row>
    <row r="69" spans="1:19" ht="51">
      <c r="A69" s="3" t="str">
        <f>HYPERLINK("https://www.onsemi.com/PowerSolutions/product.do?id=FGD3245G2_F085","FGD3245G2_F085")</f>
        <v>FGD3245G2_F085</v>
      </c>
      <c r="B69" t="str">
        <f>HYPERLINK("https://www.onsemi.com/pub/Collateral/FGD3245G2_F085-D.PDF","FGD3245G2_F085/D (1112kB)")</f>
        <v>FGD3245G2_F085/D (1112kB)</v>
      </c>
      <c r="C69" t="s">
        <v>321</v>
      </c>
      <c r="D69" s="2" t="s">
        <v>42</v>
      </c>
      <c r="E69" t="s">
        <v>75</v>
      </c>
      <c r="F69" s="2" t="s">
        <v>287</v>
      </c>
      <c r="G69" t="s">
        <v>29</v>
      </c>
      <c r="H69" t="s">
        <v>29</v>
      </c>
      <c r="I69" s="2" t="s">
        <v>46</v>
      </c>
      <c r="J69" s="2" t="s">
        <v>46</v>
      </c>
      <c r="K69" s="2" t="s">
        <v>46</v>
      </c>
      <c r="L69" s="2" t="s">
        <v>288</v>
      </c>
      <c r="M69" s="2" t="s">
        <v>46</v>
      </c>
      <c r="N69" s="2" t="s">
        <v>319</v>
      </c>
      <c r="O69" s="2" t="s">
        <v>46</v>
      </c>
      <c r="P69" s="2" t="s">
        <v>46</v>
      </c>
      <c r="Q69" s="2" t="s">
        <v>48</v>
      </c>
      <c r="R69" s="2" t="s">
        <v>46</v>
      </c>
      <c r="S69" s="2" t="s">
        <v>310</v>
      </c>
    </row>
    <row r="70" spans="1:19" ht="51">
      <c r="A70" s="3" t="str">
        <f>HYPERLINK("https://www.onsemi.com/PowerSolutions/product.do?id=FGD3325G2-F085V","FGD3325G2-F085V")</f>
        <v>FGD3325G2-F085V</v>
      </c>
      <c r="B70" t="str">
        <f>HYPERLINK("https://www.onsemi.com/pub/Collateral/FGD3325G2_F085-D.PDF","FGD3325G2_F085/D (614kB)")</f>
        <v>FGD3325G2_F085/D (614kB)</v>
      </c>
      <c r="C70" t="s">
        <v>322</v>
      </c>
      <c r="D70" s="2" t="s">
        <v>42</v>
      </c>
      <c r="E70" t="s">
        <v>75</v>
      </c>
      <c r="F70" t="s">
        <v>29</v>
      </c>
      <c r="G70" t="s">
        <v>29</v>
      </c>
      <c r="H70" t="s">
        <v>29</v>
      </c>
      <c r="I70" t="s">
        <v>29</v>
      </c>
      <c r="J70" t="s">
        <v>29</v>
      </c>
      <c r="K70" t="s">
        <v>29</v>
      </c>
      <c r="L70" t="s">
        <v>29</v>
      </c>
      <c r="M70" t="s">
        <v>29</v>
      </c>
      <c r="N70" t="s">
        <v>29</v>
      </c>
      <c r="O70" t="s">
        <v>29</v>
      </c>
      <c r="P70" t="s">
        <v>29</v>
      </c>
      <c r="Q70" t="s">
        <v>29</v>
      </c>
      <c r="R70" t="s">
        <v>29</v>
      </c>
      <c r="S70" s="2" t="s">
        <v>49</v>
      </c>
    </row>
    <row r="71" spans="1:19" ht="51">
      <c r="A71" s="3" t="str">
        <f>HYPERLINK("https://www.onsemi.com/PowerSolutions/product.do?id=FGD3325G2_F085","FGD3325G2_F085")</f>
        <v>FGD3325G2_F085</v>
      </c>
      <c r="B71" t="str">
        <f>HYPERLINK("https://www.onsemi.com/pub/Collateral/FGD3325G2_F085-D.PDF","FGD3325G2_F085/D (614kB)")</f>
        <v>FGD3325G2_F085/D (614kB)</v>
      </c>
      <c r="C71" t="s">
        <v>322</v>
      </c>
      <c r="D71" s="2" t="s">
        <v>42</v>
      </c>
      <c r="E71" t="s">
        <v>75</v>
      </c>
      <c r="F71" s="2" t="s">
        <v>123</v>
      </c>
      <c r="G71" t="s">
        <v>29</v>
      </c>
      <c r="H71" t="s">
        <v>29</v>
      </c>
      <c r="I71" s="2" t="s">
        <v>46</v>
      </c>
      <c r="J71" s="2" t="s">
        <v>46</v>
      </c>
      <c r="K71" s="2" t="s">
        <v>46</v>
      </c>
      <c r="L71" s="2" t="s">
        <v>97</v>
      </c>
      <c r="M71" s="2" t="s">
        <v>46</v>
      </c>
      <c r="N71" s="2" t="s">
        <v>277</v>
      </c>
      <c r="O71" s="2" t="s">
        <v>46</v>
      </c>
      <c r="P71" s="2" t="s">
        <v>46</v>
      </c>
      <c r="Q71" s="2" t="s">
        <v>48</v>
      </c>
      <c r="R71" s="2" t="s">
        <v>46</v>
      </c>
      <c r="S71" s="2" t="s">
        <v>310</v>
      </c>
    </row>
    <row r="72" spans="1:19" ht="51">
      <c r="A72" s="3" t="str">
        <f>HYPERLINK("https://www.onsemi.com/PowerSolutions/product.do?id=FGD3440G2-F085V","FGD3440G2-F085V")</f>
        <v>FGD3440G2-F085V</v>
      </c>
      <c r="B72" t="str">
        <f>HYPERLINK("https://www.onsemi.com/pub/Collateral/FGD3440G2-F085V-D.PDF","FGD3440G2-F085V/D (995kB)")</f>
        <v>FGD3440G2-F085V/D (995kB)</v>
      </c>
      <c r="C72" t="s">
        <v>323</v>
      </c>
      <c r="D72" s="2" t="s">
        <v>42</v>
      </c>
      <c r="E72" t="s">
        <v>75</v>
      </c>
      <c r="F72" t="s">
        <v>29</v>
      </c>
      <c r="G72" t="s">
        <v>29</v>
      </c>
      <c r="H72" t="s">
        <v>29</v>
      </c>
      <c r="I72" t="s">
        <v>29</v>
      </c>
      <c r="J72" t="s">
        <v>29</v>
      </c>
      <c r="K72" t="s">
        <v>29</v>
      </c>
      <c r="L72" t="s">
        <v>29</v>
      </c>
      <c r="M72" t="s">
        <v>29</v>
      </c>
      <c r="N72" t="s">
        <v>29</v>
      </c>
      <c r="O72" t="s">
        <v>29</v>
      </c>
      <c r="P72" t="s">
        <v>29</v>
      </c>
      <c r="Q72" t="s">
        <v>29</v>
      </c>
      <c r="R72" t="s">
        <v>29</v>
      </c>
      <c r="S72" s="2" t="s">
        <v>49</v>
      </c>
    </row>
    <row r="73" spans="1:19" ht="51">
      <c r="A73" s="3" t="str">
        <f>HYPERLINK("https://www.onsemi.com/PowerSolutions/product.do?id=FGD3440G2_F085","FGD3440G2_F085")</f>
        <v>FGD3440G2_F085</v>
      </c>
      <c r="B73" t="str">
        <f>HYPERLINK("https://www.onsemi.com/pub/Collateral/FGB3440G2-F085-D.pdf","FGB3440G2_F085/D (580kB)")</f>
        <v>FGB3440G2_F085/D (580kB)</v>
      </c>
      <c r="C73" t="s">
        <v>323</v>
      </c>
      <c r="D73" s="2" t="s">
        <v>42</v>
      </c>
      <c r="E73" t="s">
        <v>75</v>
      </c>
      <c r="F73" s="2" t="s">
        <v>67</v>
      </c>
      <c r="G73" t="s">
        <v>29</v>
      </c>
      <c r="H73" t="s">
        <v>29</v>
      </c>
      <c r="I73" s="2" t="s">
        <v>46</v>
      </c>
      <c r="J73" s="2" t="s">
        <v>46</v>
      </c>
      <c r="K73" s="2" t="s">
        <v>46</v>
      </c>
      <c r="L73" s="2" t="s">
        <v>290</v>
      </c>
      <c r="M73" s="2" t="s">
        <v>46</v>
      </c>
      <c r="N73" s="2" t="s">
        <v>324</v>
      </c>
      <c r="O73" s="2" t="s">
        <v>46</v>
      </c>
      <c r="P73" s="2" t="s">
        <v>46</v>
      </c>
      <c r="Q73" s="2" t="s">
        <v>291</v>
      </c>
      <c r="R73" s="2" t="s">
        <v>46</v>
      </c>
      <c r="S73" s="2" t="s">
        <v>310</v>
      </c>
    </row>
    <row r="74" spans="1:19" ht="51">
      <c r="A74" s="3" t="str">
        <f>HYPERLINK("https://www.onsemi.com/PowerSolutions/product.do?id=FGD3N60LSD","FGD3N60LSD")</f>
        <v>FGD3N60LSD</v>
      </c>
      <c r="B74" t="str">
        <f>HYPERLINK("https://www.onsemi.com/pub/Collateral/FGD3N60LSD-D.PDF","FGD3N60LSD/D (886kB)")</f>
        <v>FGD3N60LSD/D (886kB)</v>
      </c>
      <c r="C74" t="s">
        <v>325</v>
      </c>
      <c r="D74" s="2" t="s">
        <v>42</v>
      </c>
      <c r="E74" t="s">
        <v>75</v>
      </c>
      <c r="F74" s="2" t="s">
        <v>142</v>
      </c>
      <c r="G74" s="2" t="s">
        <v>326</v>
      </c>
      <c r="H74" s="2" t="s">
        <v>207</v>
      </c>
      <c r="I74" s="2" t="s">
        <v>76</v>
      </c>
      <c r="J74" s="2" t="s">
        <v>327</v>
      </c>
      <c r="K74" s="2" t="s">
        <v>174</v>
      </c>
      <c r="L74" s="2" t="s">
        <v>328</v>
      </c>
      <c r="M74" s="2" t="s">
        <v>329</v>
      </c>
      <c r="N74" s="2" t="s">
        <v>330</v>
      </c>
      <c r="O74" s="2" t="s">
        <v>46</v>
      </c>
      <c r="P74" s="2" t="s">
        <v>46</v>
      </c>
      <c r="Q74" s="2" t="s">
        <v>84</v>
      </c>
      <c r="R74" s="2" t="s">
        <v>63</v>
      </c>
      <c r="S74" s="2" t="s">
        <v>310</v>
      </c>
    </row>
    <row r="75" spans="1:19" ht="25.5">
      <c r="A75" s="3" t="str">
        <f>HYPERLINK("https://www.onsemi.com/PowerSolutions/product.do?id=FGD3N60UNDF","FGD3N60UNDF")</f>
        <v>FGD3N60UNDF</v>
      </c>
      <c r="B75" t="str">
        <f>HYPERLINK("https://www.onsemi.com/pub/Collateral/FGD3N60UNDF-D.pdf","FGD3N60UNDF/D (1146kB)")</f>
        <v>FGD3N60UNDF/D (1146kB)</v>
      </c>
      <c r="C75" t="s">
        <v>331</v>
      </c>
      <c r="D75" s="2" t="s">
        <v>51</v>
      </c>
      <c r="E75" t="s">
        <v>75</v>
      </c>
      <c r="F75" s="2" t="s">
        <v>142</v>
      </c>
      <c r="G75" s="2" t="s">
        <v>99</v>
      </c>
      <c r="H75" s="2" t="s">
        <v>108</v>
      </c>
      <c r="I75" s="2" t="s">
        <v>98</v>
      </c>
      <c r="J75" s="2" t="s">
        <v>332</v>
      </c>
      <c r="K75" s="2" t="s">
        <v>227</v>
      </c>
      <c r="L75" s="2" t="s">
        <v>277</v>
      </c>
      <c r="M75" s="2" t="s">
        <v>46</v>
      </c>
      <c r="N75" s="2" t="s">
        <v>69</v>
      </c>
      <c r="O75" s="2" t="s">
        <v>333</v>
      </c>
      <c r="P75" s="2" t="s">
        <v>46</v>
      </c>
      <c r="Q75" s="2" t="s">
        <v>211</v>
      </c>
      <c r="R75" s="2" t="s">
        <v>63</v>
      </c>
      <c r="S75" s="2" t="s">
        <v>310</v>
      </c>
    </row>
    <row r="76" spans="1:19" ht="25.5">
      <c r="A76" s="3" t="str">
        <f>HYPERLINK("https://www.onsemi.com/PowerSolutions/product.do?id=FGD5T120SH","FGD5T120SH")</f>
        <v>FGD5T120SH</v>
      </c>
      <c r="B76" t="str">
        <f>HYPERLINK("https://www.onsemi.com/pub/Collateral/FGD5T120SH-D.pdf","FGD5T120SH/D (610kB)")</f>
        <v>FGD5T120SH/D (610kB)</v>
      </c>
      <c r="C76" t="s">
        <v>334</v>
      </c>
      <c r="D76" s="2" t="s">
        <v>51</v>
      </c>
      <c r="E76" t="s">
        <v>75</v>
      </c>
      <c r="F76" s="2" t="s">
        <v>97</v>
      </c>
      <c r="G76" s="2" t="s">
        <v>296</v>
      </c>
      <c r="H76" s="2" t="s">
        <v>210</v>
      </c>
      <c r="I76" s="2" t="s">
        <v>46</v>
      </c>
      <c r="J76" s="2" t="s">
        <v>335</v>
      </c>
      <c r="K76" s="2" t="s">
        <v>336</v>
      </c>
      <c r="L76" s="2" t="s">
        <v>46</v>
      </c>
      <c r="M76" s="2" t="s">
        <v>46</v>
      </c>
      <c r="N76" s="2" t="s">
        <v>337</v>
      </c>
      <c r="O76" s="2" t="s">
        <v>46</v>
      </c>
      <c r="P76" s="2" t="s">
        <v>46</v>
      </c>
      <c r="Q76" s="2" t="s">
        <v>338</v>
      </c>
      <c r="R76" s="2" t="s">
        <v>32</v>
      </c>
      <c r="S76" s="2" t="s">
        <v>310</v>
      </c>
    </row>
    <row r="77" spans="1:19">
      <c r="A77" s="3" t="str">
        <f>HYPERLINK("https://www.onsemi.com/PowerSolutions/product.do?id=FGH12040WD_F155","FGH12040WD_F155")</f>
        <v>FGH12040WD_F155</v>
      </c>
      <c r="B77" t="str">
        <f>HYPERLINK("https://www.onsemi.com/pub/Collateral/FGH12040WD_F155-D.PDF","FGH12040WD_F155/D (940kB)")</f>
        <v>FGH12040WD_F155/D (940kB)</v>
      </c>
      <c r="C77" t="s">
        <v>339</v>
      </c>
      <c r="D77" s="2" t="s">
        <v>20</v>
      </c>
      <c r="E77" t="s">
        <v>75</v>
      </c>
      <c r="F77" s="2" t="s">
        <v>97</v>
      </c>
      <c r="G77" t="s">
        <v>29</v>
      </c>
      <c r="H77" t="s">
        <v>29</v>
      </c>
      <c r="I77" s="2" t="s">
        <v>180</v>
      </c>
      <c r="J77" s="2" t="s">
        <v>327</v>
      </c>
      <c r="K77" s="2" t="s">
        <v>340</v>
      </c>
      <c r="L77" t="s">
        <v>29</v>
      </c>
      <c r="M77" s="2" t="s">
        <v>308</v>
      </c>
      <c r="N77" s="2" t="s">
        <v>341</v>
      </c>
      <c r="O77" s="2" t="s">
        <v>296</v>
      </c>
      <c r="P77" s="2" t="s">
        <v>46</v>
      </c>
      <c r="Q77" s="2" t="s">
        <v>342</v>
      </c>
      <c r="R77" t="s">
        <v>29</v>
      </c>
      <c r="S77" s="2" t="s">
        <v>343</v>
      </c>
    </row>
    <row r="78" spans="1:19">
      <c r="A78" s="3" t="str">
        <f>HYPERLINK("https://www.onsemi.com/PowerSolutions/product.do?id=FGH15T120SMD","FGH15T120SMD")</f>
        <v>FGH15T120SMD</v>
      </c>
      <c r="B78" t="str">
        <f>HYPERLINK("https://www.onsemi.com/pub/Collateral/FGH15T120SMD-D.pdf","FGH15T120SMD/D (372kB)")</f>
        <v>FGH15T120SMD/D (372kB)</v>
      </c>
      <c r="C78" t="s">
        <v>344</v>
      </c>
      <c r="D78" s="2" t="s">
        <v>20</v>
      </c>
      <c r="E78" t="s">
        <v>75</v>
      </c>
      <c r="F78" s="2" t="s">
        <v>97</v>
      </c>
      <c r="G78" t="s">
        <v>29</v>
      </c>
      <c r="H78" t="s">
        <v>29</v>
      </c>
      <c r="I78" s="2" t="s">
        <v>345</v>
      </c>
      <c r="J78" s="2" t="s">
        <v>346</v>
      </c>
      <c r="K78" s="2" t="s">
        <v>347</v>
      </c>
      <c r="L78" t="s">
        <v>29</v>
      </c>
      <c r="M78" s="2" t="s">
        <v>348</v>
      </c>
      <c r="N78" s="2" t="s">
        <v>349</v>
      </c>
      <c r="O78" s="2" t="s">
        <v>46</v>
      </c>
      <c r="P78" s="2" t="s">
        <v>46</v>
      </c>
      <c r="Q78" s="2" t="s">
        <v>350</v>
      </c>
      <c r="R78" t="s">
        <v>29</v>
      </c>
      <c r="S78" s="2" t="s">
        <v>343</v>
      </c>
    </row>
    <row r="79" spans="1:19" ht="25.5">
      <c r="A79" s="3" t="str">
        <f>HYPERLINK("https://www.onsemi.com/PowerSolutions/product.do?id=FGH20N60SFD","FGH20N60SFD")</f>
        <v>FGH20N60SFD</v>
      </c>
      <c r="B79" t="str">
        <f>HYPERLINK("https://www.onsemi.com/pub/Collateral/FGH20N60SFD-D.PDF","FGH20N60SFD/D (1203kB)")</f>
        <v>FGH20N60SFD/D (1203kB)</v>
      </c>
      <c r="C79" t="s">
        <v>351</v>
      </c>
      <c r="D79" s="2" t="s">
        <v>51</v>
      </c>
      <c r="E79" t="s">
        <v>75</v>
      </c>
      <c r="F79" s="2" t="s">
        <v>142</v>
      </c>
      <c r="G79" s="2" t="s">
        <v>23</v>
      </c>
      <c r="H79" s="2" t="s">
        <v>168</v>
      </c>
      <c r="I79" s="2" t="s">
        <v>126</v>
      </c>
      <c r="J79" s="2" t="s">
        <v>254</v>
      </c>
      <c r="K79" s="2" t="s">
        <v>352</v>
      </c>
      <c r="L79" s="2" t="s">
        <v>353</v>
      </c>
      <c r="M79" s="2" t="s">
        <v>46</v>
      </c>
      <c r="N79" s="2" t="s">
        <v>354</v>
      </c>
      <c r="O79" s="2" t="s">
        <v>46</v>
      </c>
      <c r="P79" s="2" t="s">
        <v>46</v>
      </c>
      <c r="Q79" s="2" t="s">
        <v>355</v>
      </c>
      <c r="R79" s="2" t="s">
        <v>63</v>
      </c>
      <c r="S79" s="2" t="s">
        <v>343</v>
      </c>
    </row>
    <row r="80" spans="1:19" ht="38.25">
      <c r="A80" s="3" t="str">
        <f>HYPERLINK("https://www.onsemi.com/PowerSolutions/product.do?id=FGH20N60SF_F085","FGH20N60SF_F085")</f>
        <v>FGH20N60SF_F085</v>
      </c>
      <c r="B80" t="str">
        <f>HYPERLINK("https://www.onsemi.com/pub/Collateral/FGH20N60SF-F085-D.pdf","FGH20N60SF_F085/D (1262kB)")</f>
        <v>FGH20N60SF_F085/D (1262kB)</v>
      </c>
      <c r="C80" t="s">
        <v>356</v>
      </c>
      <c r="D80" s="2" t="s">
        <v>74</v>
      </c>
      <c r="E80" t="s">
        <v>75</v>
      </c>
      <c r="F80" s="2" t="s">
        <v>142</v>
      </c>
      <c r="G80" s="2" t="s">
        <v>84</v>
      </c>
      <c r="H80" t="s">
        <v>29</v>
      </c>
      <c r="I80" s="2" t="s">
        <v>126</v>
      </c>
      <c r="J80" s="2" t="s">
        <v>254</v>
      </c>
      <c r="K80" s="2" t="s">
        <v>352</v>
      </c>
      <c r="L80" s="2" t="s">
        <v>84</v>
      </c>
      <c r="M80" s="2" t="s">
        <v>46</v>
      </c>
      <c r="N80" s="2" t="s">
        <v>354</v>
      </c>
      <c r="O80" s="2" t="s">
        <v>46</v>
      </c>
      <c r="P80" s="2" t="s">
        <v>46</v>
      </c>
      <c r="Q80" s="2" t="s">
        <v>355</v>
      </c>
      <c r="R80" t="s">
        <v>29</v>
      </c>
      <c r="S80" s="2" t="s">
        <v>343</v>
      </c>
    </row>
    <row r="81" spans="1:19" ht="25.5">
      <c r="A81" s="3" t="str">
        <f>HYPERLINK("https://www.onsemi.com/PowerSolutions/product.do?id=FGH20N60UFD","FGH20N60UFD")</f>
        <v>FGH20N60UFD</v>
      </c>
      <c r="B81" t="str">
        <f>HYPERLINK("https://www.onsemi.com/pub/Collateral/FGH20N60UFD-D.pdf","FGH20N60UFD/D (474kB)")</f>
        <v>FGH20N60UFD/D (474kB)</v>
      </c>
      <c r="C81" t="s">
        <v>244</v>
      </c>
      <c r="D81" s="2" t="s">
        <v>51</v>
      </c>
      <c r="E81" t="s">
        <v>75</v>
      </c>
      <c r="F81" s="2" t="s">
        <v>142</v>
      </c>
      <c r="G81" s="2" t="s">
        <v>23</v>
      </c>
      <c r="H81" s="2" t="s">
        <v>143</v>
      </c>
      <c r="I81" s="2" t="s">
        <v>126</v>
      </c>
      <c r="J81" s="2" t="s">
        <v>178</v>
      </c>
      <c r="K81" s="2" t="s">
        <v>357</v>
      </c>
      <c r="L81" s="2" t="s">
        <v>265</v>
      </c>
      <c r="M81" s="2" t="s">
        <v>46</v>
      </c>
      <c r="N81" s="2" t="s">
        <v>268</v>
      </c>
      <c r="O81" s="2" t="s">
        <v>46</v>
      </c>
      <c r="P81" s="2" t="s">
        <v>46</v>
      </c>
      <c r="Q81" s="2" t="s">
        <v>355</v>
      </c>
      <c r="R81" s="2" t="s">
        <v>63</v>
      </c>
      <c r="S81" s="2" t="s">
        <v>343</v>
      </c>
    </row>
    <row r="82" spans="1:19">
      <c r="A82" s="3" t="str">
        <f>HYPERLINK("https://www.onsemi.com/PowerSolutions/product.do?id=FGH25N120FTDS","FGH25N120FTDS")</f>
        <v>FGH25N120FTDS</v>
      </c>
      <c r="B82" t="str">
        <f>HYPERLINK("https://www.onsemi.com/pub/Collateral/FGH25N120FTDS-D.pdf","FGH25N120FTDS/D (641kB)")</f>
        <v>FGH25N120FTDS/D (641kB)</v>
      </c>
      <c r="C82" t="s">
        <v>358</v>
      </c>
      <c r="D82" s="2" t="s">
        <v>20</v>
      </c>
      <c r="E82" t="s">
        <v>75</v>
      </c>
      <c r="F82" s="2" t="s">
        <v>97</v>
      </c>
      <c r="G82" s="2" t="s">
        <v>359</v>
      </c>
      <c r="H82" s="2" t="s">
        <v>69</v>
      </c>
      <c r="I82" s="2" t="s">
        <v>206</v>
      </c>
      <c r="J82" s="2" t="s">
        <v>149</v>
      </c>
      <c r="K82" s="2" t="s">
        <v>360</v>
      </c>
      <c r="L82" s="2" t="s">
        <v>361</v>
      </c>
      <c r="M82" s="2" t="s">
        <v>362</v>
      </c>
      <c r="N82" s="2" t="s">
        <v>363</v>
      </c>
      <c r="O82" s="2" t="s">
        <v>46</v>
      </c>
      <c r="P82" s="2" t="s">
        <v>46</v>
      </c>
      <c r="Q82" s="2" t="s">
        <v>364</v>
      </c>
      <c r="R82" s="2" t="s">
        <v>63</v>
      </c>
      <c r="S82" s="2" t="s">
        <v>343</v>
      </c>
    </row>
    <row r="83" spans="1:19">
      <c r="A83" s="3" t="str">
        <f>HYPERLINK("https://www.onsemi.com/PowerSolutions/product.do?id=FGH25T120SMD","FGH25T120SMD")</f>
        <v>FGH25T120SMD</v>
      </c>
      <c r="B83" t="str">
        <f>HYPERLINK("https://www.onsemi.com/pub/Collateral/FGH25T120SMD-D.PDF","FGH25T120SMD/D (1116kB)")</f>
        <v>FGH25T120SMD/D (1116kB)</v>
      </c>
      <c r="C83" t="s">
        <v>365</v>
      </c>
      <c r="D83" s="2" t="s">
        <v>20</v>
      </c>
      <c r="E83" t="s">
        <v>75</v>
      </c>
      <c r="F83" s="2" t="s">
        <v>97</v>
      </c>
      <c r="G83" t="s">
        <v>29</v>
      </c>
      <c r="H83" t="s">
        <v>29</v>
      </c>
      <c r="I83" s="2" t="s">
        <v>345</v>
      </c>
      <c r="J83" s="2" t="s">
        <v>127</v>
      </c>
      <c r="K83" s="2" t="s">
        <v>366</v>
      </c>
      <c r="L83" s="2" t="s">
        <v>367</v>
      </c>
      <c r="M83" s="2" t="s">
        <v>368</v>
      </c>
      <c r="N83" s="2" t="s">
        <v>369</v>
      </c>
      <c r="O83" s="2" t="s">
        <v>46</v>
      </c>
      <c r="P83" s="2" t="s">
        <v>46</v>
      </c>
      <c r="Q83" s="2" t="s">
        <v>342</v>
      </c>
      <c r="R83" t="s">
        <v>29</v>
      </c>
      <c r="S83" s="2" t="s">
        <v>343</v>
      </c>
    </row>
    <row r="84" spans="1:19" ht="25.5">
      <c r="A84" s="3" t="str">
        <f>HYPERLINK("https://www.onsemi.com/PowerSolutions/product.do?id=FGH30N60LSD","FGH30N60LSD")</f>
        <v>FGH30N60LSD</v>
      </c>
      <c r="B84" t="str">
        <f>HYPERLINK("https://www.onsemi.com/pub/Collateral/FGH30N60LSD-D.PDF","FGH30N60LSD/D (410kB)")</f>
        <v>FGH30N60LSD/D (410kB)</v>
      </c>
      <c r="C84" t="s">
        <v>370</v>
      </c>
      <c r="D84" s="2" t="s">
        <v>51</v>
      </c>
      <c r="E84" t="s">
        <v>75</v>
      </c>
      <c r="F84" s="2" t="s">
        <v>142</v>
      </c>
      <c r="G84" s="2" t="s">
        <v>35</v>
      </c>
      <c r="H84" s="2" t="s">
        <v>316</v>
      </c>
      <c r="I84" t="s">
        <v>29</v>
      </c>
      <c r="J84" t="s">
        <v>29</v>
      </c>
      <c r="K84" t="s">
        <v>29</v>
      </c>
      <c r="L84" t="s">
        <v>29</v>
      </c>
      <c r="M84" t="s">
        <v>29</v>
      </c>
      <c r="N84" t="s">
        <v>29</v>
      </c>
      <c r="O84" t="s">
        <v>29</v>
      </c>
      <c r="P84" t="s">
        <v>29</v>
      </c>
      <c r="Q84" t="s">
        <v>29</v>
      </c>
      <c r="R84" s="2" t="s">
        <v>63</v>
      </c>
      <c r="S84" s="2" t="s">
        <v>343</v>
      </c>
    </row>
    <row r="85" spans="1:19">
      <c r="A85" s="3" t="str">
        <f>HYPERLINK("https://www.onsemi.com/PowerSolutions/product.do?id=FGH30S130P","FGH30S130P")</f>
        <v>FGH30S130P</v>
      </c>
      <c r="B85" t="str">
        <f>HYPERLINK("https://www.onsemi.com/pub/Collateral/FGH30S130P-D.pdf","FGH30S130P/D (819kB)")</f>
        <v>FGH30S130P/D (819kB)</v>
      </c>
      <c r="C85" t="s">
        <v>162</v>
      </c>
      <c r="D85" s="2" t="s">
        <v>20</v>
      </c>
      <c r="E85" t="s">
        <v>75</v>
      </c>
      <c r="F85" s="2" t="s">
        <v>163</v>
      </c>
      <c r="G85" s="2" t="s">
        <v>35</v>
      </c>
      <c r="H85" s="2" t="s">
        <v>121</v>
      </c>
      <c r="I85" s="2" t="s">
        <v>98</v>
      </c>
      <c r="J85" s="2" t="s">
        <v>164</v>
      </c>
      <c r="K85" s="2" t="s">
        <v>25</v>
      </c>
      <c r="L85" s="2" t="s">
        <v>46</v>
      </c>
      <c r="M85" s="2" t="s">
        <v>46</v>
      </c>
      <c r="N85" s="2" t="s">
        <v>371</v>
      </c>
      <c r="O85" s="2" t="s">
        <v>46</v>
      </c>
      <c r="P85" s="2" t="s">
        <v>46</v>
      </c>
      <c r="Q85" s="2" t="s">
        <v>372</v>
      </c>
      <c r="R85" s="2" t="s">
        <v>63</v>
      </c>
      <c r="S85" s="2" t="s">
        <v>343</v>
      </c>
    </row>
    <row r="86" spans="1:19">
      <c r="A86" s="3" t="str">
        <f>HYPERLINK("https://www.onsemi.com/PowerSolutions/product.do?id=FGH30S150P","FGH30S150P")</f>
        <v>FGH30S150P</v>
      </c>
      <c r="B86" t="str">
        <f>HYPERLINK("https://www.onsemi.com/pub/Collateral/FGH30S150P-D.pdf","FGH30S150P/D (788kB)")</f>
        <v>FGH30S150P/D (788kB)</v>
      </c>
      <c r="C86" t="s">
        <v>373</v>
      </c>
      <c r="D86" s="2" t="s">
        <v>20</v>
      </c>
      <c r="E86" t="s">
        <v>75</v>
      </c>
      <c r="F86" s="2" t="s">
        <v>273</v>
      </c>
      <c r="G86" s="2" t="s">
        <v>35</v>
      </c>
      <c r="H86" s="2" t="s">
        <v>272</v>
      </c>
      <c r="I86" s="2" t="s">
        <v>241</v>
      </c>
      <c r="J86" s="2" t="s">
        <v>374</v>
      </c>
      <c r="K86" s="2" t="s">
        <v>149</v>
      </c>
      <c r="L86" s="2" t="s">
        <v>46</v>
      </c>
      <c r="M86" s="2" t="s">
        <v>46</v>
      </c>
      <c r="N86" s="2" t="s">
        <v>375</v>
      </c>
      <c r="O86" s="2" t="s">
        <v>46</v>
      </c>
      <c r="P86" s="2" t="s">
        <v>46</v>
      </c>
      <c r="Q86" s="2" t="s">
        <v>372</v>
      </c>
      <c r="R86" s="2" t="s">
        <v>63</v>
      </c>
      <c r="S86" s="2" t="s">
        <v>343</v>
      </c>
    </row>
    <row r="87" spans="1:19">
      <c r="A87" s="3" t="str">
        <f>HYPERLINK("https://www.onsemi.com/PowerSolutions/product.do?id=FGH40N120AN","FGH40N120AN")</f>
        <v>FGH40N120AN</v>
      </c>
      <c r="B87" t="str">
        <f>HYPERLINK("https://www.onsemi.com/pub/Collateral/FGH40N120AN-D.pdf","FGH40N120AN/D (626kB)")</f>
        <v>FGH40N120AN/D (626kB)</v>
      </c>
      <c r="C87" t="s">
        <v>376</v>
      </c>
      <c r="D87" s="2" t="s">
        <v>20</v>
      </c>
      <c r="E87" t="s">
        <v>75</v>
      </c>
      <c r="F87" s="2" t="s">
        <v>97</v>
      </c>
      <c r="G87" s="2" t="s">
        <v>84</v>
      </c>
      <c r="H87" s="2" t="s">
        <v>377</v>
      </c>
      <c r="I87" s="2" t="s">
        <v>46</v>
      </c>
      <c r="J87" s="2" t="s">
        <v>316</v>
      </c>
      <c r="K87" s="2" t="s">
        <v>221</v>
      </c>
      <c r="L87" s="2" t="s">
        <v>46</v>
      </c>
      <c r="M87" s="2" t="s">
        <v>46</v>
      </c>
      <c r="N87" s="2" t="s">
        <v>81</v>
      </c>
      <c r="O87" s="2" t="s">
        <v>333</v>
      </c>
      <c r="P87" s="2" t="s">
        <v>46</v>
      </c>
      <c r="Q87" s="2" t="s">
        <v>378</v>
      </c>
      <c r="R87" s="2" t="s">
        <v>32</v>
      </c>
      <c r="S87" s="2" t="s">
        <v>343</v>
      </c>
    </row>
    <row r="88" spans="1:19" ht="38.25">
      <c r="A88" s="3" t="str">
        <f>HYPERLINK("https://www.onsemi.com/PowerSolutions/product.do?id=FGH40N60DF_F085","FGH40N60DF_F085")</f>
        <v>FGH40N60DF_F085</v>
      </c>
      <c r="B88" t="str">
        <f>HYPERLINK("https://www.onsemi.com/pub/Collateral/FGH40N60DF-F085-D.pdf","FGH40N60DF_F085/D (634kB)")</f>
        <v>FGH40N60DF_F085/D (634kB)</v>
      </c>
      <c r="C88" t="s">
        <v>379</v>
      </c>
      <c r="D88" s="2" t="s">
        <v>74</v>
      </c>
      <c r="E88" t="s">
        <v>75</v>
      </c>
      <c r="F88" s="2" t="s">
        <v>142</v>
      </c>
      <c r="G88" s="2" t="s">
        <v>380</v>
      </c>
      <c r="H88" t="s">
        <v>29</v>
      </c>
      <c r="I88" s="2" t="s">
        <v>25</v>
      </c>
      <c r="J88" s="2" t="s">
        <v>174</v>
      </c>
      <c r="K88" s="2" t="s">
        <v>25</v>
      </c>
      <c r="L88" s="2" t="s">
        <v>265</v>
      </c>
      <c r="M88" s="2" t="s">
        <v>46</v>
      </c>
      <c r="N88" s="2" t="s">
        <v>381</v>
      </c>
      <c r="O88" s="2" t="s">
        <v>46</v>
      </c>
      <c r="P88" s="2" t="s">
        <v>46</v>
      </c>
      <c r="Q88" s="2" t="s">
        <v>182</v>
      </c>
      <c r="R88" t="s">
        <v>29</v>
      </c>
      <c r="S88" s="2" t="s">
        <v>343</v>
      </c>
    </row>
    <row r="89" spans="1:19" ht="25.5">
      <c r="A89" s="3" t="str">
        <f>HYPERLINK("https://www.onsemi.com/PowerSolutions/product.do?id=FGH40N60SF","FGH40N60SF")</f>
        <v>FGH40N60SF</v>
      </c>
      <c r="B89" t="str">
        <f>HYPERLINK("https://www.onsemi.com/pub/Collateral/FGH40N60SF-D.pdf","FGH40N60SF/D (582kB)")</f>
        <v>FGH40N60SF/D (582kB)</v>
      </c>
      <c r="C89" t="s">
        <v>382</v>
      </c>
      <c r="D89" s="2" t="s">
        <v>51</v>
      </c>
      <c r="E89" t="s">
        <v>75</v>
      </c>
      <c r="F89" s="2" t="s">
        <v>142</v>
      </c>
      <c r="G89" s="2" t="s">
        <v>84</v>
      </c>
      <c r="H89" s="2" t="s">
        <v>221</v>
      </c>
      <c r="I89" s="2" t="s">
        <v>46</v>
      </c>
      <c r="J89" s="2" t="s">
        <v>195</v>
      </c>
      <c r="K89" s="2" t="s">
        <v>383</v>
      </c>
      <c r="L89" s="2" t="s">
        <v>46</v>
      </c>
      <c r="M89" s="2" t="s">
        <v>46</v>
      </c>
      <c r="N89" s="2" t="s">
        <v>101</v>
      </c>
      <c r="O89" s="2" t="s">
        <v>46</v>
      </c>
      <c r="P89" s="2" t="s">
        <v>46</v>
      </c>
      <c r="Q89" s="2" t="s">
        <v>384</v>
      </c>
      <c r="R89" s="2" t="s">
        <v>32</v>
      </c>
      <c r="S89" s="2" t="s">
        <v>343</v>
      </c>
    </row>
    <row r="90" spans="1:19" ht="25.5">
      <c r="A90" s="3" t="str">
        <f>HYPERLINK("https://www.onsemi.com/PowerSolutions/product.do?id=FGH40N60SFD","FGH40N60SFD")</f>
        <v>FGH40N60SFD</v>
      </c>
      <c r="B90" t="str">
        <f>HYPERLINK("https://www.onsemi.com/pub/Collateral/FGH40N60SFD-D.PDF","FGH40N60SFD/D (1191kB)")</f>
        <v>FGH40N60SFD/D (1191kB)</v>
      </c>
      <c r="C90" t="s">
        <v>249</v>
      </c>
      <c r="D90" s="2" t="s">
        <v>51</v>
      </c>
      <c r="E90" t="s">
        <v>75</v>
      </c>
      <c r="F90" s="2" t="s">
        <v>142</v>
      </c>
      <c r="G90" s="2" t="s">
        <v>84</v>
      </c>
      <c r="H90" s="2" t="s">
        <v>221</v>
      </c>
      <c r="I90" s="2" t="s">
        <v>143</v>
      </c>
      <c r="J90" s="2" t="s">
        <v>357</v>
      </c>
      <c r="K90" s="2" t="s">
        <v>385</v>
      </c>
      <c r="L90" s="2" t="s">
        <v>193</v>
      </c>
      <c r="M90" s="2" t="s">
        <v>46</v>
      </c>
      <c r="N90" s="2" t="s">
        <v>386</v>
      </c>
      <c r="O90" s="2" t="s">
        <v>46</v>
      </c>
      <c r="P90" s="2" t="s">
        <v>46</v>
      </c>
      <c r="Q90" s="2" t="s">
        <v>384</v>
      </c>
      <c r="R90" s="2" t="s">
        <v>63</v>
      </c>
      <c r="S90" s="2" t="s">
        <v>343</v>
      </c>
    </row>
    <row r="91" spans="1:19" ht="38.25">
      <c r="A91" s="3" t="str">
        <f>HYPERLINK("https://www.onsemi.com/PowerSolutions/product.do?id=FGH40N60SF_F085","FGH40N60SF_F085")</f>
        <v>FGH40N60SF_F085</v>
      </c>
      <c r="B91" t="str">
        <f>HYPERLINK("https://www.onsemi.com/pub/Collateral/FGH40N60SF-F085-D.pdf","FGH40N60SF_F085/D (1221kB)")</f>
        <v>FGH40N60SF_F085/D (1221kB)</v>
      </c>
      <c r="C91" t="s">
        <v>387</v>
      </c>
      <c r="D91" s="2" t="s">
        <v>74</v>
      </c>
      <c r="E91" t="s">
        <v>75</v>
      </c>
      <c r="F91" s="2" t="s">
        <v>142</v>
      </c>
      <c r="G91" s="2" t="s">
        <v>380</v>
      </c>
      <c r="H91" t="s">
        <v>29</v>
      </c>
      <c r="I91" s="2" t="s">
        <v>143</v>
      </c>
      <c r="J91" s="2" t="s">
        <v>357</v>
      </c>
      <c r="K91" s="2" t="s">
        <v>385</v>
      </c>
      <c r="L91" s="2" t="s">
        <v>193</v>
      </c>
      <c r="M91" s="2" t="s">
        <v>46</v>
      </c>
      <c r="N91" s="2" t="s">
        <v>386</v>
      </c>
      <c r="O91" s="2" t="s">
        <v>46</v>
      </c>
      <c r="P91" s="2" t="s">
        <v>46</v>
      </c>
      <c r="Q91" s="2" t="s">
        <v>384</v>
      </c>
      <c r="R91" t="s">
        <v>29</v>
      </c>
      <c r="S91" s="2" t="s">
        <v>343</v>
      </c>
    </row>
    <row r="92" spans="1:19" ht="25.5">
      <c r="A92" s="3" t="str">
        <f>HYPERLINK("https://www.onsemi.com/PowerSolutions/product.do?id=FGH40N60SMD","FGH40N60SMD")</f>
        <v>FGH40N60SMD</v>
      </c>
      <c r="B92" t="str">
        <f>HYPERLINK("https://www.onsemi.com/pub/Collateral/FGH40N60SMD-D.PDF","FGH40N60SMD/D (802kB)")</f>
        <v>FGH40N60SMD/D (802kB)</v>
      </c>
      <c r="C92" t="s">
        <v>379</v>
      </c>
      <c r="D92" s="2" t="s">
        <v>51</v>
      </c>
      <c r="E92" t="s">
        <v>75</v>
      </c>
      <c r="F92" s="2" t="s">
        <v>142</v>
      </c>
      <c r="G92" s="2" t="s">
        <v>84</v>
      </c>
      <c r="H92" s="2" t="s">
        <v>126</v>
      </c>
      <c r="I92" s="2" t="s">
        <v>46</v>
      </c>
      <c r="J92" s="2" t="s">
        <v>46</v>
      </c>
      <c r="K92" s="2" t="s">
        <v>46</v>
      </c>
      <c r="L92" s="2" t="s">
        <v>295</v>
      </c>
      <c r="M92" s="2" t="s">
        <v>46</v>
      </c>
      <c r="N92" s="2" t="s">
        <v>46</v>
      </c>
      <c r="O92" s="2" t="s">
        <v>46</v>
      </c>
      <c r="P92" s="2" t="s">
        <v>46</v>
      </c>
      <c r="Q92" s="2" t="s">
        <v>46</v>
      </c>
      <c r="R92" s="2" t="s">
        <v>63</v>
      </c>
      <c r="S92" s="2" t="s">
        <v>343</v>
      </c>
    </row>
    <row r="93" spans="1:19" ht="25.5">
      <c r="A93" s="3" t="str">
        <f>HYPERLINK("https://www.onsemi.com/PowerSolutions/product.do?id=FGH40N60SMDF","FGH40N60SMDF")</f>
        <v>FGH40N60SMDF</v>
      </c>
      <c r="B93" t="str">
        <f>HYPERLINK("https://www.onsemi.com/pub/Collateral/FGH40N60SMDF-D.PDF","FGH40N60SMDF/D (334kB)")</f>
        <v>FGH40N60SMDF/D (334kB)</v>
      </c>
      <c r="C93" t="s">
        <v>379</v>
      </c>
      <c r="D93" s="2" t="s">
        <v>51</v>
      </c>
      <c r="E93" t="s">
        <v>75</v>
      </c>
      <c r="F93" s="2" t="s">
        <v>142</v>
      </c>
      <c r="G93" s="2" t="s">
        <v>84</v>
      </c>
      <c r="H93" s="2" t="s">
        <v>126</v>
      </c>
      <c r="I93" s="2" t="s">
        <v>25</v>
      </c>
      <c r="J93" s="2" t="s">
        <v>174</v>
      </c>
      <c r="K93" s="2" t="s">
        <v>25</v>
      </c>
      <c r="L93" s="2" t="s">
        <v>265</v>
      </c>
      <c r="M93" s="2" t="s">
        <v>46</v>
      </c>
      <c r="N93" s="2" t="s">
        <v>381</v>
      </c>
      <c r="O93" s="2" t="s">
        <v>46</v>
      </c>
      <c r="P93" s="2" t="s">
        <v>46</v>
      </c>
      <c r="Q93" s="2" t="s">
        <v>182</v>
      </c>
      <c r="R93" s="2" t="s">
        <v>63</v>
      </c>
      <c r="S93" s="2" t="s">
        <v>343</v>
      </c>
    </row>
    <row r="94" spans="1:19" ht="38.25">
      <c r="A94" s="3" t="str">
        <f>HYPERLINK("https://www.onsemi.com/PowerSolutions/product.do?id=FGH40N60SM_F085","FGH40N60SM_F085")</f>
        <v>FGH40N60SM_F085</v>
      </c>
      <c r="B94" t="str">
        <f>HYPERLINK("https://www.onsemi.com/pub/Collateral/FGH40N60SM-F085-D.pdf","FGH40N60SM_F085/D (1134kB)")</f>
        <v>FGH40N60SM_F085/D (1134kB)</v>
      </c>
      <c r="C94" t="s">
        <v>388</v>
      </c>
      <c r="D94" s="2" t="s">
        <v>74</v>
      </c>
      <c r="E94" t="s">
        <v>75</v>
      </c>
      <c r="F94" s="2" t="s">
        <v>142</v>
      </c>
      <c r="G94" s="2" t="s">
        <v>380</v>
      </c>
      <c r="H94" t="s">
        <v>29</v>
      </c>
      <c r="I94" s="2" t="s">
        <v>221</v>
      </c>
      <c r="J94" s="2" t="s">
        <v>332</v>
      </c>
      <c r="K94" s="2" t="s">
        <v>389</v>
      </c>
      <c r="L94" s="2" t="s">
        <v>295</v>
      </c>
      <c r="M94" s="2" t="s">
        <v>46</v>
      </c>
      <c r="N94" s="2" t="s">
        <v>181</v>
      </c>
      <c r="O94" s="2" t="s">
        <v>46</v>
      </c>
      <c r="P94" s="2" t="s">
        <v>46</v>
      </c>
      <c r="Q94" s="2" t="s">
        <v>182</v>
      </c>
      <c r="R94" t="s">
        <v>29</v>
      </c>
      <c r="S94" s="2" t="s">
        <v>343</v>
      </c>
    </row>
    <row r="95" spans="1:19" ht="25.5">
      <c r="A95" s="3" t="str">
        <f>HYPERLINK("https://www.onsemi.com/PowerSolutions/product.do?id=FGH40N60UF","FGH40N60UF")</f>
        <v>FGH40N60UF</v>
      </c>
      <c r="B95" t="str">
        <f>HYPERLINK("https://www.onsemi.com/pub/Collateral/FGH40N60UF-D.PDF","FGH40N60UF/D (1154kB)")</f>
        <v>FGH40N60UF/D (1154kB)</v>
      </c>
      <c r="C95" t="s">
        <v>249</v>
      </c>
      <c r="D95" s="2" t="s">
        <v>51</v>
      </c>
      <c r="E95" t="s">
        <v>75</v>
      </c>
      <c r="F95" s="2" t="s">
        <v>142</v>
      </c>
      <c r="G95" s="2" t="s">
        <v>84</v>
      </c>
      <c r="H95" s="2" t="s">
        <v>143</v>
      </c>
      <c r="I95" s="2" t="s">
        <v>46</v>
      </c>
      <c r="J95" s="2" t="s">
        <v>346</v>
      </c>
      <c r="K95" s="2" t="s">
        <v>390</v>
      </c>
      <c r="L95" t="s">
        <v>29</v>
      </c>
      <c r="M95" s="2" t="s">
        <v>46</v>
      </c>
      <c r="N95" s="2" t="s">
        <v>101</v>
      </c>
      <c r="O95" s="2" t="s">
        <v>46</v>
      </c>
      <c r="P95" s="2" t="s">
        <v>46</v>
      </c>
      <c r="Q95" s="2" t="s">
        <v>384</v>
      </c>
      <c r="R95" s="2" t="s">
        <v>32</v>
      </c>
      <c r="S95" s="2" t="s">
        <v>343</v>
      </c>
    </row>
    <row r="96" spans="1:19" ht="25.5">
      <c r="A96" s="4" t="str">
        <f>HYPERLINK("https://www.onsemi.com/PowerSolutions/product.do?id=FGH40N60UFD","FGH40N60UFD")</f>
        <v>FGH40N60UFD</v>
      </c>
      <c r="B96" t="str">
        <f>HYPERLINK("https://www.onsemi.com/pub/Collateral/FGH40N60UFD-D.pdf","FGH40N60UFD/D (718kB)")</f>
        <v>FGH40N60UFD/D (718kB)</v>
      </c>
      <c r="C96" t="s">
        <v>249</v>
      </c>
      <c r="D96" s="2" t="s">
        <v>51</v>
      </c>
      <c r="E96" t="s">
        <v>75</v>
      </c>
      <c r="F96" s="2" t="s">
        <v>142</v>
      </c>
      <c r="G96" s="2" t="s">
        <v>84</v>
      </c>
      <c r="H96" s="2" t="s">
        <v>143</v>
      </c>
      <c r="I96" s="2" t="s">
        <v>391</v>
      </c>
      <c r="J96" s="2" t="s">
        <v>346</v>
      </c>
      <c r="K96" s="2" t="s">
        <v>390</v>
      </c>
      <c r="L96" s="2" t="s">
        <v>392</v>
      </c>
      <c r="M96" s="2" t="s">
        <v>46</v>
      </c>
      <c r="N96" s="2" t="s">
        <v>101</v>
      </c>
      <c r="O96" s="2" t="s">
        <v>46</v>
      </c>
      <c r="P96" s="2" t="s">
        <v>46</v>
      </c>
      <c r="Q96" s="2" t="s">
        <v>384</v>
      </c>
      <c r="R96" s="2" t="s">
        <v>63</v>
      </c>
      <c r="S96" s="2" t="s">
        <v>343</v>
      </c>
    </row>
    <row r="97" spans="1:19" ht="25.5">
      <c r="A97" s="4" t="str">
        <f>HYPERLINK("https://www.onsemi.com/PowerSolutions/product.do?id=FGH40N65UFD","FGH40N65UFD")</f>
        <v>FGH40N65UFD</v>
      </c>
      <c r="B97" t="str">
        <f>HYPERLINK("https://www.onsemi.com/pub/Collateral/FGH40N65UFD-D.PDF","FGH40N65UFD/D (909kB)")</f>
        <v>FGH40N65UFD/D (909kB)</v>
      </c>
      <c r="C97" t="s">
        <v>393</v>
      </c>
      <c r="D97" s="2" t="s">
        <v>51</v>
      </c>
      <c r="E97" t="s">
        <v>75</v>
      </c>
      <c r="F97" s="2" t="s">
        <v>22</v>
      </c>
      <c r="G97" s="2" t="s">
        <v>84</v>
      </c>
      <c r="H97" s="2" t="s">
        <v>143</v>
      </c>
      <c r="I97" s="2" t="s">
        <v>143</v>
      </c>
      <c r="J97" s="2" t="s">
        <v>394</v>
      </c>
      <c r="K97" s="2" t="s">
        <v>395</v>
      </c>
      <c r="L97" s="2" t="s">
        <v>264</v>
      </c>
      <c r="M97" s="2" t="s">
        <v>46</v>
      </c>
      <c r="N97" s="2" t="s">
        <v>181</v>
      </c>
      <c r="O97" s="2" t="s">
        <v>46</v>
      </c>
      <c r="P97" s="2" t="s">
        <v>46</v>
      </c>
      <c r="Q97" s="2" t="s">
        <v>384</v>
      </c>
      <c r="R97" s="2" t="s">
        <v>63</v>
      </c>
      <c r="S97" s="2" t="s">
        <v>343</v>
      </c>
    </row>
    <row r="98" spans="1:19" ht="38.25">
      <c r="A98" s="4" t="str">
        <f>HYPERLINK("https://www.onsemi.com/PowerSolutions/product.do?id=FGH40N65UF_F085","FGH40N65UF_F085")</f>
        <v>FGH40N65UF_F085</v>
      </c>
      <c r="B98" t="str">
        <f>HYPERLINK("https://www.onsemi.com/pub/Collateral/FGH40N65UF-F085-D.pdf","FGH40N65UF_F085/D (633kB)")</f>
        <v>FGH40N65UF_F085/D (633kB)</v>
      </c>
      <c r="C98" t="s">
        <v>396</v>
      </c>
      <c r="D98" s="2" t="s">
        <v>74</v>
      </c>
      <c r="E98" t="s">
        <v>75</v>
      </c>
      <c r="F98" s="2" t="s">
        <v>22</v>
      </c>
      <c r="G98" s="2" t="s">
        <v>380</v>
      </c>
      <c r="H98" t="s">
        <v>29</v>
      </c>
      <c r="I98" s="2" t="s">
        <v>143</v>
      </c>
      <c r="J98" s="2" t="s">
        <v>109</v>
      </c>
      <c r="K98" s="2" t="s">
        <v>223</v>
      </c>
      <c r="L98" s="2" t="s">
        <v>264</v>
      </c>
      <c r="M98" s="2" t="s">
        <v>46</v>
      </c>
      <c r="N98" s="2" t="s">
        <v>181</v>
      </c>
      <c r="O98" s="2" t="s">
        <v>46</v>
      </c>
      <c r="P98" s="2" t="s">
        <v>46</v>
      </c>
      <c r="Q98" s="2" t="s">
        <v>384</v>
      </c>
      <c r="R98" t="s">
        <v>29</v>
      </c>
      <c r="S98" s="2" t="s">
        <v>343</v>
      </c>
    </row>
    <row r="99" spans="1:19" ht="25.5">
      <c r="A99" s="4" t="str">
        <f>HYPERLINK("https://www.onsemi.com/PowerSolutions/product.do?id=FGH40T100SMD","FGH40T100SMD")</f>
        <v>FGH40T100SMD</v>
      </c>
      <c r="B99" t="str">
        <f>HYPERLINK("https://www.onsemi.com/pub/Collateral/FGH40T100SMD-D.PDF","FGH40T100SMD/D (1976kB)")</f>
        <v>FGH40T100SMD/D (1976kB)</v>
      </c>
      <c r="C99" t="s">
        <v>397</v>
      </c>
      <c r="D99" s="2" t="s">
        <v>51</v>
      </c>
      <c r="E99" t="s">
        <v>75</v>
      </c>
      <c r="F99" s="2" t="s">
        <v>205</v>
      </c>
      <c r="G99" s="2" t="s">
        <v>84</v>
      </c>
      <c r="H99" s="2" t="s">
        <v>126</v>
      </c>
      <c r="I99" s="2" t="s">
        <v>398</v>
      </c>
      <c r="J99" s="2" t="s">
        <v>347</v>
      </c>
      <c r="K99" s="2" t="s">
        <v>399</v>
      </c>
      <c r="L99" s="2" t="s">
        <v>400</v>
      </c>
      <c r="M99" s="2" t="s">
        <v>46</v>
      </c>
      <c r="N99" s="2" t="s">
        <v>401</v>
      </c>
      <c r="O99" s="2" t="s">
        <v>46</v>
      </c>
      <c r="P99" s="2" t="s">
        <v>46</v>
      </c>
      <c r="Q99" s="2" t="s">
        <v>350</v>
      </c>
      <c r="R99" s="2" t="s">
        <v>63</v>
      </c>
      <c r="S99" s="2" t="s">
        <v>343</v>
      </c>
    </row>
    <row r="100" spans="1:19">
      <c r="A100" s="4" t="str">
        <f>HYPERLINK("https://www.onsemi.com/PowerSolutions/product.do?id=FGH40T120SMD","FGH40T120SMD")</f>
        <v>FGH40T120SMD</v>
      </c>
      <c r="B100" t="str">
        <f>HYPERLINK("https://www.onsemi.com/pub/Collateral/FGH40T120SMD-D.PDF","FGH40T120SMD/D (343kB)")</f>
        <v>FGH40T120SMD/D (343kB)</v>
      </c>
      <c r="C100" t="s">
        <v>402</v>
      </c>
      <c r="D100" s="2" t="s">
        <v>20</v>
      </c>
      <c r="E100" t="s">
        <v>75</v>
      </c>
      <c r="F100" s="2" t="s">
        <v>97</v>
      </c>
      <c r="G100" s="2" t="s">
        <v>84</v>
      </c>
      <c r="H100" s="2" t="s">
        <v>143</v>
      </c>
      <c r="I100" s="2" t="s">
        <v>403</v>
      </c>
      <c r="J100" s="2" t="s">
        <v>316</v>
      </c>
      <c r="K100" s="2" t="s">
        <v>404</v>
      </c>
      <c r="L100" s="2" t="s">
        <v>134</v>
      </c>
      <c r="M100" s="2" t="s">
        <v>44</v>
      </c>
      <c r="N100" s="2" t="s">
        <v>405</v>
      </c>
      <c r="O100" s="2" t="s">
        <v>46</v>
      </c>
      <c r="P100" s="2" t="s">
        <v>46</v>
      </c>
      <c r="Q100" s="2" t="s">
        <v>406</v>
      </c>
      <c r="R100" s="2" t="s">
        <v>63</v>
      </c>
      <c r="S100" s="2" t="s">
        <v>343</v>
      </c>
    </row>
    <row r="101" spans="1:19" ht="25.5">
      <c r="A101" s="4" t="str">
        <f>HYPERLINK("https://www.onsemi.com/PowerSolutions/product.do?id=FGH40T120SMDL4","FGH40T120SMDL4")</f>
        <v>FGH40T120SMDL4</v>
      </c>
      <c r="B101" t="str">
        <f>HYPERLINK("https://www.onsemi.com/pub/Collateral/FGH40T120SMDL4-D.pdf","FGH40T120SMDL4/D (577kB)")</f>
        <v>FGH40T120SMDL4/D (577kB)</v>
      </c>
      <c r="C101" t="s">
        <v>407</v>
      </c>
      <c r="D101" s="2" t="s">
        <v>51</v>
      </c>
      <c r="E101" t="s">
        <v>75</v>
      </c>
      <c r="F101" s="2" t="s">
        <v>97</v>
      </c>
      <c r="G101" s="2" t="s">
        <v>84</v>
      </c>
      <c r="H101" s="2" t="s">
        <v>143</v>
      </c>
      <c r="I101" s="2" t="s">
        <v>403</v>
      </c>
      <c r="J101" s="2" t="s">
        <v>408</v>
      </c>
      <c r="K101" s="2" t="s">
        <v>218</v>
      </c>
      <c r="L101" s="2" t="s">
        <v>134</v>
      </c>
      <c r="M101" s="2" t="s">
        <v>409</v>
      </c>
      <c r="N101" s="2" t="s">
        <v>405</v>
      </c>
      <c r="O101" s="2" t="s">
        <v>46</v>
      </c>
      <c r="P101" s="2" t="s">
        <v>46</v>
      </c>
      <c r="Q101" s="2" t="s">
        <v>406</v>
      </c>
      <c r="R101" s="2" t="s">
        <v>63</v>
      </c>
      <c r="S101" s="2" t="s">
        <v>410</v>
      </c>
    </row>
    <row r="102" spans="1:19" ht="25.5">
      <c r="A102" s="4" t="str">
        <f>HYPERLINK("https://www.onsemi.com/PowerSolutions/product.do?id=FGH40T120SQDNL4","FGH40T120SQDNL4")</f>
        <v>FGH40T120SQDNL4</v>
      </c>
      <c r="B102" t="str">
        <f>HYPERLINK("https://www.onsemi.com/pub/Collateral/FGH40T120SQDNL4-D.PDF","FGH40T120SQDNL4/D (300kB)")</f>
        <v>FGH40T120SQDNL4/D (300kB)</v>
      </c>
      <c r="C102" t="s">
        <v>411</v>
      </c>
      <c r="D102" s="2" t="s">
        <v>51</v>
      </c>
      <c r="E102" t="s">
        <v>75</v>
      </c>
      <c r="F102" s="2" t="s">
        <v>97</v>
      </c>
      <c r="G102" s="2" t="s">
        <v>84</v>
      </c>
      <c r="H102" s="2" t="s">
        <v>412</v>
      </c>
      <c r="I102" s="2" t="s">
        <v>398</v>
      </c>
      <c r="J102" s="2" t="s">
        <v>316</v>
      </c>
      <c r="K102" s="2" t="s">
        <v>404</v>
      </c>
      <c r="L102" s="2" t="s">
        <v>291</v>
      </c>
      <c r="M102" s="2" t="s">
        <v>413</v>
      </c>
      <c r="N102" s="2" t="s">
        <v>414</v>
      </c>
      <c r="O102" s="2" t="s">
        <v>415</v>
      </c>
      <c r="P102" t="s">
        <v>29</v>
      </c>
      <c r="Q102" s="2" t="s">
        <v>416</v>
      </c>
      <c r="R102" s="2" t="s">
        <v>63</v>
      </c>
      <c r="S102" s="2" t="s">
        <v>410</v>
      </c>
    </row>
    <row r="103" spans="1:19" ht="25.5">
      <c r="A103" s="4" t="str">
        <f>HYPERLINK("https://www.onsemi.com/PowerSolutions/product.do?id=FGH40T65SH","FGH40T65SH")</f>
        <v>FGH40T65SH</v>
      </c>
      <c r="B103" t="str">
        <f>HYPERLINK("https://www.onsemi.com/pub/Collateral/FGH40T65SH-D.PDF","FGH40T65SH/D (752kB)")</f>
        <v>FGH40T65SH/D (752kB)</v>
      </c>
      <c r="C103" t="s">
        <v>183</v>
      </c>
      <c r="D103" s="2" t="s">
        <v>51</v>
      </c>
      <c r="E103" t="s">
        <v>75</v>
      </c>
      <c r="F103" s="2" t="s">
        <v>22</v>
      </c>
      <c r="G103" t="s">
        <v>29</v>
      </c>
      <c r="H103" t="s">
        <v>29</v>
      </c>
      <c r="I103" s="2" t="s">
        <v>46</v>
      </c>
      <c r="J103" s="2" t="s">
        <v>189</v>
      </c>
      <c r="K103" s="2" t="s">
        <v>190</v>
      </c>
      <c r="L103" s="2" t="s">
        <v>46</v>
      </c>
      <c r="M103" s="2" t="s">
        <v>46</v>
      </c>
      <c r="N103" s="2" t="s">
        <v>191</v>
      </c>
      <c r="O103" s="2" t="s">
        <v>46</v>
      </c>
      <c r="P103" s="2" t="s">
        <v>46</v>
      </c>
      <c r="Q103" s="2" t="s">
        <v>188</v>
      </c>
      <c r="R103" t="s">
        <v>29</v>
      </c>
      <c r="S103" s="2" t="s">
        <v>343</v>
      </c>
    </row>
    <row r="104" spans="1:19" ht="25.5">
      <c r="A104" s="4" t="str">
        <f>HYPERLINK("https://www.onsemi.com/PowerSolutions/product.do?id=FGH40T65SHD","FGH40T65SHD")</f>
        <v>FGH40T65SHD</v>
      </c>
      <c r="B104" t="str">
        <f>HYPERLINK("https://www.onsemi.com/pub/Collateral/FGH40T65SHD-D.PDF","FGH40T65SHD/D (1685kB)")</f>
        <v>FGH40T65SHD/D (1685kB)</v>
      </c>
      <c r="C104" t="s">
        <v>183</v>
      </c>
      <c r="D104" s="2" t="s">
        <v>51</v>
      </c>
      <c r="E104" t="s">
        <v>75</v>
      </c>
      <c r="F104" s="2" t="s">
        <v>22</v>
      </c>
      <c r="G104" t="s">
        <v>29</v>
      </c>
      <c r="H104" t="s">
        <v>29</v>
      </c>
      <c r="I104" s="2" t="s">
        <v>168</v>
      </c>
      <c r="J104" s="2" t="s">
        <v>189</v>
      </c>
      <c r="K104" s="2" t="s">
        <v>190</v>
      </c>
      <c r="L104" t="s">
        <v>29</v>
      </c>
      <c r="M104" s="2" t="s">
        <v>46</v>
      </c>
      <c r="N104" s="2" t="s">
        <v>191</v>
      </c>
      <c r="O104" s="2" t="s">
        <v>46</v>
      </c>
      <c r="P104" s="2" t="s">
        <v>46</v>
      </c>
      <c r="Q104" s="2" t="s">
        <v>188</v>
      </c>
      <c r="R104" t="s">
        <v>29</v>
      </c>
      <c r="S104" s="2" t="s">
        <v>343</v>
      </c>
    </row>
    <row r="105" spans="1:19" ht="25.5">
      <c r="A105" s="4" t="str">
        <f>HYPERLINK("https://www.onsemi.com/PowerSolutions/product.do?id=FGH40T65SHDF","FGH40T65SHDF")</f>
        <v>FGH40T65SHDF</v>
      </c>
      <c r="B105" t="str">
        <f>HYPERLINK("https://www.onsemi.com/pub/Collateral/FGH40T65SHDF-D.pdf","FGH40T65SHDF/D (1035kB)")</f>
        <v>FGH40T65SHDF/D (1035kB)</v>
      </c>
      <c r="C105" t="s">
        <v>292</v>
      </c>
      <c r="D105" s="2" t="s">
        <v>51</v>
      </c>
      <c r="E105" t="s">
        <v>75</v>
      </c>
      <c r="F105" s="2" t="s">
        <v>22</v>
      </c>
      <c r="G105" t="s">
        <v>29</v>
      </c>
      <c r="H105" t="s">
        <v>29</v>
      </c>
      <c r="I105" s="2" t="s">
        <v>76</v>
      </c>
      <c r="J105" s="2" t="s">
        <v>192</v>
      </c>
      <c r="K105" s="2" t="s">
        <v>164</v>
      </c>
      <c r="L105" t="s">
        <v>29</v>
      </c>
      <c r="M105" s="2" t="s">
        <v>46</v>
      </c>
      <c r="N105" s="2" t="s">
        <v>193</v>
      </c>
      <c r="O105" s="2" t="s">
        <v>46</v>
      </c>
      <c r="P105" s="2" t="s">
        <v>46</v>
      </c>
      <c r="Q105" s="2" t="s">
        <v>188</v>
      </c>
      <c r="R105" t="s">
        <v>29</v>
      </c>
      <c r="S105" s="2" t="s">
        <v>343</v>
      </c>
    </row>
    <row r="106" spans="1:19">
      <c r="A106" s="4" t="str">
        <f>HYPERLINK("https://www.onsemi.com/PowerSolutions/product.do?id=FGH40T65SPD","FGH40T65SPD")</f>
        <v>FGH40T65SPD</v>
      </c>
      <c r="B106" t="str">
        <f>HYPERLINK("https://www.onsemi.com/pub/Collateral/FGH40T65SPD-D.pdf","FGH40T65SPD/D (939kB)")</f>
        <v>FGH40T65SPD/D (939kB)</v>
      </c>
      <c r="C106" t="s">
        <v>292</v>
      </c>
      <c r="D106" s="2" t="s">
        <v>20</v>
      </c>
      <c r="E106" t="s">
        <v>75</v>
      </c>
      <c r="F106" s="2" t="s">
        <v>22</v>
      </c>
      <c r="G106" t="s">
        <v>29</v>
      </c>
      <c r="H106" t="s">
        <v>29</v>
      </c>
      <c r="I106" s="2" t="s">
        <v>168</v>
      </c>
      <c r="J106" s="2" t="s">
        <v>293</v>
      </c>
      <c r="K106" s="2" t="s">
        <v>149</v>
      </c>
      <c r="L106" t="s">
        <v>29</v>
      </c>
      <c r="M106" s="2" t="s">
        <v>46</v>
      </c>
      <c r="N106" s="2" t="s">
        <v>159</v>
      </c>
      <c r="O106" s="2" t="s">
        <v>296</v>
      </c>
      <c r="P106" s="2" t="s">
        <v>46</v>
      </c>
      <c r="Q106" s="2" t="s">
        <v>38</v>
      </c>
      <c r="R106" t="s">
        <v>29</v>
      </c>
      <c r="S106" s="2" t="s">
        <v>343</v>
      </c>
    </row>
    <row r="107" spans="1:19" ht="38.25">
      <c r="A107" s="4" t="str">
        <f>HYPERLINK("https://www.onsemi.com/PowerSolutions/product.do?id=FGH40T65SP_F085","FGH40T65SP_F085")</f>
        <v>FGH40T65SP_F085</v>
      </c>
      <c r="B107" t="str">
        <f>HYPERLINK("https://www.onsemi.com/pub/Collateral/FGH40T65SP_F085-D.PDF","FGH40T65SP_F085/D (646kB)")</f>
        <v>FGH40T65SP_F085/D (646kB)</v>
      </c>
      <c r="C107" t="s">
        <v>292</v>
      </c>
      <c r="D107" s="2" t="s">
        <v>74</v>
      </c>
      <c r="E107" t="s">
        <v>75</v>
      </c>
      <c r="F107" s="2" t="s">
        <v>22</v>
      </c>
      <c r="G107" s="2" t="s">
        <v>380</v>
      </c>
      <c r="H107" t="s">
        <v>29</v>
      </c>
      <c r="I107" s="2" t="s">
        <v>168</v>
      </c>
      <c r="J107" s="2" t="s">
        <v>417</v>
      </c>
      <c r="K107" s="2" t="s">
        <v>149</v>
      </c>
      <c r="L107" s="2" t="s">
        <v>159</v>
      </c>
      <c r="M107" s="2" t="s">
        <v>46</v>
      </c>
      <c r="N107" s="2" t="s">
        <v>295</v>
      </c>
      <c r="O107" s="2" t="s">
        <v>296</v>
      </c>
      <c r="P107" s="2" t="s">
        <v>46</v>
      </c>
      <c r="Q107" s="2" t="s">
        <v>38</v>
      </c>
      <c r="R107" s="2" t="s">
        <v>63</v>
      </c>
      <c r="S107" s="2" t="s">
        <v>343</v>
      </c>
    </row>
    <row r="108" spans="1:19" ht="25.5">
      <c r="A108" s="4" t="str">
        <f>HYPERLINK("https://www.onsemi.com/PowerSolutions/product.do?id=FGH40T65SQD","FGH40T65SQD")</f>
        <v>FGH40T65SQD</v>
      </c>
      <c r="B108" t="str">
        <f>HYPERLINK("https://www.onsemi.com/pub/Collateral/FGH40T65SQD-D.PDF","FGH40T65SQD/D (1131kB)")</f>
        <v>FGH40T65SQD/D (1131kB)</v>
      </c>
      <c r="C108" t="s">
        <v>183</v>
      </c>
      <c r="D108" s="2" t="s">
        <v>51</v>
      </c>
      <c r="E108" t="s">
        <v>75</v>
      </c>
      <c r="F108" s="2" t="s">
        <v>22</v>
      </c>
      <c r="G108" s="2" t="s">
        <v>84</v>
      </c>
      <c r="H108" s="2" t="s">
        <v>69</v>
      </c>
      <c r="I108" s="2" t="s">
        <v>168</v>
      </c>
      <c r="J108" s="2" t="s">
        <v>419</v>
      </c>
      <c r="K108" s="2" t="s">
        <v>420</v>
      </c>
      <c r="L108" s="2" t="s">
        <v>421</v>
      </c>
      <c r="M108" s="2" t="s">
        <v>46</v>
      </c>
      <c r="N108" s="2" t="s">
        <v>380</v>
      </c>
      <c r="O108" s="2" t="s">
        <v>46</v>
      </c>
      <c r="P108" s="2" t="s">
        <v>46</v>
      </c>
      <c r="Q108" s="2" t="s">
        <v>88</v>
      </c>
      <c r="R108" s="2" t="s">
        <v>63</v>
      </c>
      <c r="S108" s="2" t="s">
        <v>343</v>
      </c>
    </row>
    <row r="109" spans="1:19" ht="25.5">
      <c r="A109" s="4" t="str">
        <f>HYPERLINK("https://www.onsemi.com/PowerSolutions/product.do?id=FGH40T65UQDF","FGH40T65UQDF")</f>
        <v>FGH40T65UQDF</v>
      </c>
      <c r="B109" t="str">
        <f>HYPERLINK("https://www.onsemi.com/pub/Collateral/FGH40T65UQDF-D.PDF","FGH40T65UQDF/D (1291kB)")</f>
        <v>FGH40T65UQDF/D (1291kB)</v>
      </c>
      <c r="C109" t="s">
        <v>183</v>
      </c>
      <c r="D109" s="2" t="s">
        <v>51</v>
      </c>
      <c r="E109" t="s">
        <v>75</v>
      </c>
      <c r="F109" s="2" t="s">
        <v>22</v>
      </c>
      <c r="G109" t="s">
        <v>29</v>
      </c>
      <c r="H109" t="s">
        <v>29</v>
      </c>
      <c r="I109" s="2" t="s">
        <v>76</v>
      </c>
      <c r="J109" s="2" t="s">
        <v>195</v>
      </c>
      <c r="K109" s="2" t="s">
        <v>196</v>
      </c>
      <c r="L109" t="s">
        <v>29</v>
      </c>
      <c r="M109" s="2" t="s">
        <v>46</v>
      </c>
      <c r="N109" s="2" t="s">
        <v>198</v>
      </c>
      <c r="O109" s="2" t="s">
        <v>46</v>
      </c>
      <c r="P109" s="2" t="s">
        <v>46</v>
      </c>
      <c r="Q109" s="2" t="s">
        <v>199</v>
      </c>
      <c r="R109" t="s">
        <v>29</v>
      </c>
      <c r="S109" s="2" t="s">
        <v>343</v>
      </c>
    </row>
    <row r="110" spans="1:19" ht="25.5">
      <c r="A110" s="4" t="str">
        <f>HYPERLINK("https://www.onsemi.com/PowerSolutions/product.do?id=FGH40T70SHD","FGH40T70SHD")</f>
        <v>FGH40T70SHD</v>
      </c>
      <c r="B110" t="str">
        <f>HYPERLINK("https://www.onsemi.com/pub/Collateral/FGH40T70SHD-D.PDF","FGH40T70SHD/D (1044kB)")</f>
        <v>FGH40T70SHD/D (1044kB)</v>
      </c>
      <c r="C110" t="s">
        <v>422</v>
      </c>
      <c r="D110" s="2" t="s">
        <v>51</v>
      </c>
      <c r="E110" t="s">
        <v>75</v>
      </c>
      <c r="F110" s="2" t="s">
        <v>423</v>
      </c>
      <c r="G110" t="s">
        <v>29</v>
      </c>
      <c r="H110" t="s">
        <v>29</v>
      </c>
      <c r="I110" s="2" t="s">
        <v>108</v>
      </c>
      <c r="J110" s="2" t="s">
        <v>424</v>
      </c>
      <c r="K110" s="2" t="s">
        <v>347</v>
      </c>
      <c r="L110" t="s">
        <v>29</v>
      </c>
      <c r="M110" s="2" t="s">
        <v>46</v>
      </c>
      <c r="N110" s="2" t="s">
        <v>338</v>
      </c>
      <c r="O110" s="2" t="s">
        <v>46</v>
      </c>
      <c r="P110" s="2" t="s">
        <v>46</v>
      </c>
      <c r="Q110" s="2" t="s">
        <v>188</v>
      </c>
      <c r="R110" t="s">
        <v>29</v>
      </c>
      <c r="S110" s="2" t="s">
        <v>343</v>
      </c>
    </row>
    <row r="111" spans="1:19">
      <c r="A111" t="str">
        <f>HYPERLINK("https://www.onsemi.com/PowerSolutions/product.do?id=FGH50N3","FGH50N3")</f>
        <v>FGH50N3</v>
      </c>
      <c r="B111" t="str">
        <f>HYPERLINK("https://www.onsemi.com/pub/Collateral/FGH50N3-D.pdf","FGH50N3/D (485kB)")</f>
        <v>FGH50N3/D (485kB)</v>
      </c>
      <c r="C111" t="s">
        <v>425</v>
      </c>
      <c r="D111" s="2" t="s">
        <v>20</v>
      </c>
      <c r="E111" t="s">
        <v>75</v>
      </c>
      <c r="F111" s="2" t="s">
        <v>161</v>
      </c>
      <c r="G111" s="2" t="s">
        <v>31</v>
      </c>
      <c r="H111" s="2" t="s">
        <v>25</v>
      </c>
      <c r="I111" s="2" t="s">
        <v>46</v>
      </c>
      <c r="J111" s="2" t="s">
        <v>389</v>
      </c>
      <c r="K111" s="2" t="s">
        <v>254</v>
      </c>
      <c r="L111" s="2" t="s">
        <v>46</v>
      </c>
      <c r="M111" s="2" t="s">
        <v>46</v>
      </c>
      <c r="N111" s="2" t="s">
        <v>426</v>
      </c>
      <c r="O111" s="2" t="s">
        <v>427</v>
      </c>
      <c r="P111" s="2" t="s">
        <v>428</v>
      </c>
      <c r="Q111" s="2" t="s">
        <v>429</v>
      </c>
      <c r="R111" s="2" t="s">
        <v>32</v>
      </c>
      <c r="S111" s="2" t="s">
        <v>343</v>
      </c>
    </row>
    <row r="112" spans="1:19" ht="25.5">
      <c r="A112" t="str">
        <f>HYPERLINK("https://www.onsemi.com/PowerSolutions/product.do?id=FGH50T65SQD-F155","FGH50T65SQD-F155")</f>
        <v>FGH50T65SQD-F155</v>
      </c>
      <c r="B112" t="str">
        <f>HYPERLINK("https://www.onsemi.com/pub/Collateral/FGH50T65SQD-D.PDF","FGH50T65SQD/D (1010kB)")</f>
        <v>FGH50T65SQD/D (1010kB)</v>
      </c>
      <c r="C112" t="s">
        <v>430</v>
      </c>
      <c r="D112" s="2" t="s">
        <v>51</v>
      </c>
      <c r="E112" t="s">
        <v>75</v>
      </c>
      <c r="F112" s="2" t="s">
        <v>22</v>
      </c>
      <c r="G112" t="s">
        <v>29</v>
      </c>
      <c r="H112" t="s">
        <v>29</v>
      </c>
      <c r="I112" s="2" t="s">
        <v>168</v>
      </c>
      <c r="J112" s="2" t="s">
        <v>431</v>
      </c>
      <c r="K112" s="2" t="s">
        <v>432</v>
      </c>
      <c r="L112" t="s">
        <v>29</v>
      </c>
      <c r="M112" s="2" t="s">
        <v>46</v>
      </c>
      <c r="N112" s="2" t="s">
        <v>305</v>
      </c>
      <c r="O112" s="2" t="s">
        <v>46</v>
      </c>
      <c r="P112" s="2" t="s">
        <v>46</v>
      </c>
      <c r="Q112" s="2" t="s">
        <v>188</v>
      </c>
      <c r="R112" t="s">
        <v>29</v>
      </c>
      <c r="S112" s="2" t="s">
        <v>343</v>
      </c>
    </row>
    <row r="113" spans="1:19" ht="25.5">
      <c r="A113" t="str">
        <f>HYPERLINK("https://www.onsemi.com/PowerSolutions/product.do?id=FGH60N60SF","FGH60N60SF")</f>
        <v>FGH60N60SF</v>
      </c>
      <c r="B113" t="str">
        <f>HYPERLINK("https://www.onsemi.com/pub/Collateral/FGH60N60SF-D.pdf","FGH60N60SF/D (396kB)")</f>
        <v>FGH60N60SF/D (396kB)</v>
      </c>
      <c r="C113" t="s">
        <v>433</v>
      </c>
      <c r="D113" s="2" t="s">
        <v>51</v>
      </c>
      <c r="E113" t="s">
        <v>75</v>
      </c>
      <c r="F113" s="2" t="s">
        <v>142</v>
      </c>
      <c r="G113" s="2" t="s">
        <v>211</v>
      </c>
      <c r="H113" s="2" t="s">
        <v>168</v>
      </c>
      <c r="I113" s="2" t="s">
        <v>46</v>
      </c>
      <c r="J113" s="2" t="s">
        <v>434</v>
      </c>
      <c r="K113" s="2" t="s">
        <v>435</v>
      </c>
      <c r="L113" s="2" t="s">
        <v>46</v>
      </c>
      <c r="M113" s="2" t="s">
        <v>46</v>
      </c>
      <c r="N113" s="2" t="s">
        <v>436</v>
      </c>
      <c r="O113" s="2" t="s">
        <v>46</v>
      </c>
      <c r="P113" s="2" t="s">
        <v>46</v>
      </c>
      <c r="Q113" s="2" t="s">
        <v>437</v>
      </c>
      <c r="R113" s="2" t="s">
        <v>32</v>
      </c>
      <c r="S113" s="2" t="s">
        <v>343</v>
      </c>
    </row>
    <row r="114" spans="1:19" ht="25.5">
      <c r="A114" t="str">
        <f>HYPERLINK("https://www.onsemi.com/PowerSolutions/product.do?id=FGH60N60SFDTU","FGH60N60SFDTU")</f>
        <v>FGH60N60SFDTU</v>
      </c>
      <c r="B114" t="str">
        <f>HYPERLINK("https://www.onsemi.com/pub/Collateral/FGH60N60SF-D.pdf","FGH60N60SF/D (396kB)")</f>
        <v>FGH60N60SF/D (396kB)</v>
      </c>
      <c r="C114" t="s">
        <v>438</v>
      </c>
      <c r="D114" s="2" t="s">
        <v>51</v>
      </c>
      <c r="E114" t="s">
        <v>75</v>
      </c>
      <c r="F114" s="2" t="s">
        <v>142</v>
      </c>
      <c r="G114" s="2" t="s">
        <v>211</v>
      </c>
      <c r="H114" s="2" t="s">
        <v>221</v>
      </c>
      <c r="I114" s="2" t="s">
        <v>46</v>
      </c>
      <c r="J114" s="2" t="s">
        <v>434</v>
      </c>
      <c r="K114" s="2" t="s">
        <v>435</v>
      </c>
      <c r="L114" s="2" t="s">
        <v>234</v>
      </c>
      <c r="M114" s="2" t="s">
        <v>46</v>
      </c>
      <c r="N114" s="2" t="s">
        <v>436</v>
      </c>
      <c r="O114" s="2" t="s">
        <v>46</v>
      </c>
      <c r="P114" s="2" t="s">
        <v>46</v>
      </c>
      <c r="Q114" s="2" t="s">
        <v>437</v>
      </c>
      <c r="R114" s="2" t="s">
        <v>63</v>
      </c>
      <c r="S114" s="2" t="s">
        <v>343</v>
      </c>
    </row>
    <row r="115" spans="1:19" ht="38.25">
      <c r="A115" t="str">
        <f>HYPERLINK("https://www.onsemi.com/PowerSolutions/product.do?id=FGH60N60SF_F085","FGH60N60SF_F085")</f>
        <v>FGH60N60SF_F085</v>
      </c>
      <c r="B115" t="str">
        <f>HYPERLINK("https://www.onsemi.com/pub/Collateral/FGH60N60SF_F085-D.PDF","FGH60N60SF_F085/D (937kB)")</f>
        <v>FGH60N60SF_F085/D (937kB)</v>
      </c>
      <c r="C115" t="s">
        <v>439</v>
      </c>
      <c r="D115" s="2" t="s">
        <v>74</v>
      </c>
      <c r="E115" t="s">
        <v>75</v>
      </c>
      <c r="F115" s="2" t="s">
        <v>142</v>
      </c>
      <c r="G115" s="2" t="s">
        <v>101</v>
      </c>
      <c r="H115" t="s">
        <v>29</v>
      </c>
      <c r="I115" s="2" t="s">
        <v>126</v>
      </c>
      <c r="J115" s="2" t="s">
        <v>440</v>
      </c>
      <c r="K115" s="2" t="s">
        <v>441</v>
      </c>
      <c r="L115" s="2" t="s">
        <v>442</v>
      </c>
      <c r="M115" s="2" t="s">
        <v>46</v>
      </c>
      <c r="N115" s="2" t="s">
        <v>235</v>
      </c>
      <c r="O115" s="2" t="s">
        <v>46</v>
      </c>
      <c r="P115" s="2" t="s">
        <v>46</v>
      </c>
      <c r="Q115" s="2" t="s">
        <v>437</v>
      </c>
      <c r="R115" t="s">
        <v>29</v>
      </c>
      <c r="S115" s="2" t="s">
        <v>343</v>
      </c>
    </row>
    <row r="116" spans="1:19" ht="25.5">
      <c r="A116" t="str">
        <f>HYPERLINK("https://www.onsemi.com/PowerSolutions/product.do?id=FGH60N60SMD","FGH60N60SMD")</f>
        <v>FGH60N60SMD</v>
      </c>
      <c r="B116" t="str">
        <f>HYPERLINK("https://www.onsemi.com/pub/Collateral/FGH60N60SMD-D.PDF","FGH60N60SMD/D (575kB)")</f>
        <v>FGH60N60SMD/D (575kB)</v>
      </c>
      <c r="C116" t="s">
        <v>231</v>
      </c>
      <c r="D116" s="2" t="s">
        <v>51</v>
      </c>
      <c r="E116" t="s">
        <v>75</v>
      </c>
      <c r="F116" s="2" t="s">
        <v>142</v>
      </c>
      <c r="G116" s="2" t="s">
        <v>211</v>
      </c>
      <c r="H116" s="2" t="s">
        <v>126</v>
      </c>
      <c r="I116" s="2" t="s">
        <v>137</v>
      </c>
      <c r="J116" s="2" t="s">
        <v>443</v>
      </c>
      <c r="K116" s="2" t="s">
        <v>444</v>
      </c>
      <c r="L116" s="2" t="s">
        <v>445</v>
      </c>
      <c r="M116" s="2" t="s">
        <v>46</v>
      </c>
      <c r="N116" s="2" t="s">
        <v>285</v>
      </c>
      <c r="O116" s="2" t="s">
        <v>46</v>
      </c>
      <c r="P116" s="2" t="s">
        <v>46</v>
      </c>
      <c r="Q116" s="2" t="s">
        <v>142</v>
      </c>
      <c r="R116" s="2" t="s">
        <v>63</v>
      </c>
      <c r="S116" s="2" t="s">
        <v>343</v>
      </c>
    </row>
    <row r="117" spans="1:19" ht="38.25">
      <c r="A117" t="str">
        <f>HYPERLINK("https://www.onsemi.com/PowerSolutions/product.do?id=FGH60N60SM_F085","FGH60N60SM_F085")</f>
        <v>FGH60N60SM_F085</v>
      </c>
      <c r="B117" t="str">
        <f>HYPERLINK("https://www.onsemi.com/pub/Collateral/FGH60N60SM-F085-D.pdf","FGH60N60SM_F085/D (488kB)")</f>
        <v>FGH60N60SM_F085/D (488kB)</v>
      </c>
      <c r="C117" t="s">
        <v>446</v>
      </c>
      <c r="D117" s="2" t="s">
        <v>74</v>
      </c>
      <c r="E117" t="s">
        <v>75</v>
      </c>
      <c r="F117" s="2" t="s">
        <v>142</v>
      </c>
      <c r="G117" s="2" t="s">
        <v>101</v>
      </c>
      <c r="H117" t="s">
        <v>29</v>
      </c>
      <c r="I117" s="2" t="s">
        <v>137</v>
      </c>
      <c r="J117" s="2" t="s">
        <v>443</v>
      </c>
      <c r="K117" s="2" t="s">
        <v>444</v>
      </c>
      <c r="L117" s="2" t="s">
        <v>447</v>
      </c>
      <c r="M117" s="2" t="s">
        <v>46</v>
      </c>
      <c r="N117" s="2" t="s">
        <v>285</v>
      </c>
      <c r="O117" s="2" t="s">
        <v>46</v>
      </c>
      <c r="P117" s="2" t="s">
        <v>46</v>
      </c>
      <c r="Q117" s="2" t="s">
        <v>142</v>
      </c>
      <c r="R117" t="s">
        <v>29</v>
      </c>
      <c r="S117" s="2" t="s">
        <v>343</v>
      </c>
    </row>
    <row r="118" spans="1:19" ht="25.5">
      <c r="A118" t="str">
        <f>HYPERLINK("https://www.onsemi.com/PowerSolutions/product.do?id=FGH60N60UFD","FGH60N60UFD")</f>
        <v>FGH60N60UFD</v>
      </c>
      <c r="B118" t="str">
        <f>HYPERLINK("https://www.onsemi.com/pub/Collateral/FGH60N60UFD-D.PDF","FGH60N60UFD/D (918kB)")</f>
        <v>FGH60N60UFD/D (918kB)</v>
      </c>
      <c r="C118" t="s">
        <v>448</v>
      </c>
      <c r="D118" s="2" t="s">
        <v>51</v>
      </c>
      <c r="E118" t="s">
        <v>75</v>
      </c>
      <c r="F118" s="2" t="s">
        <v>142</v>
      </c>
      <c r="G118" s="2" t="s">
        <v>211</v>
      </c>
      <c r="H118" s="2" t="s">
        <v>143</v>
      </c>
      <c r="I118" s="2" t="s">
        <v>98</v>
      </c>
      <c r="J118" s="2" t="s">
        <v>232</v>
      </c>
      <c r="K118" s="2" t="s">
        <v>449</v>
      </c>
      <c r="L118" s="2" t="s">
        <v>450</v>
      </c>
      <c r="M118" s="2" t="s">
        <v>46</v>
      </c>
      <c r="N118" s="2" t="s">
        <v>171</v>
      </c>
      <c r="O118" s="2" t="s">
        <v>46</v>
      </c>
      <c r="P118" s="2" t="s">
        <v>46</v>
      </c>
      <c r="Q118" s="2" t="s">
        <v>119</v>
      </c>
      <c r="R118" s="2" t="s">
        <v>63</v>
      </c>
      <c r="S118" s="2" t="s">
        <v>343</v>
      </c>
    </row>
    <row r="119" spans="1:19" ht="38.25">
      <c r="A119" t="str">
        <f>HYPERLINK("https://www.onsemi.com/PowerSolutions/product.do?id=FGH60N60UF_F085","FGH60N60UF_F085")</f>
        <v>FGH60N60UF_F085</v>
      </c>
      <c r="B119" t="str">
        <f>HYPERLINK("https://www.onsemi.com/pub/Collateral/FGH60N60UF-F085-D.pdf","FGH60N60UF_F085/D (628kB)")</f>
        <v>FGH60N60UF_F085/D (628kB)</v>
      </c>
      <c r="C119" t="s">
        <v>446</v>
      </c>
      <c r="D119" s="2" t="s">
        <v>74</v>
      </c>
      <c r="E119" t="s">
        <v>75</v>
      </c>
      <c r="F119" s="2" t="s">
        <v>142</v>
      </c>
      <c r="G119" s="2" t="s">
        <v>101</v>
      </c>
      <c r="H119" t="s">
        <v>29</v>
      </c>
      <c r="I119" s="2" t="s">
        <v>98</v>
      </c>
      <c r="J119" s="2" t="s">
        <v>232</v>
      </c>
      <c r="K119" s="2" t="s">
        <v>449</v>
      </c>
      <c r="L119" s="2" t="s">
        <v>87</v>
      </c>
      <c r="M119" s="2" t="s">
        <v>46</v>
      </c>
      <c r="N119" s="2" t="s">
        <v>171</v>
      </c>
      <c r="O119" s="2" t="s">
        <v>46</v>
      </c>
      <c r="P119" s="2" t="s">
        <v>46</v>
      </c>
      <c r="Q119" s="2" t="s">
        <v>119</v>
      </c>
      <c r="R119" t="s">
        <v>29</v>
      </c>
      <c r="S119" s="2" t="s">
        <v>343</v>
      </c>
    </row>
    <row r="120" spans="1:19" ht="25.5">
      <c r="A120" t="str">
        <f>HYPERLINK("https://www.onsemi.com/PowerSolutions/product.do?id=FGH60T65SHD","FGH60T65SHD")</f>
        <v>FGH60T65SHD</v>
      </c>
      <c r="B120" t="str">
        <f>HYPERLINK("https://www.onsemi.com/pub/Collateral/FGH60T65SHD-D.PDF","FGH60T65SHD/D (861kB)")</f>
        <v>FGH60T65SHD/D (861kB)</v>
      </c>
      <c r="C120" t="s">
        <v>226</v>
      </c>
      <c r="D120" s="2" t="s">
        <v>51</v>
      </c>
      <c r="E120" t="s">
        <v>75</v>
      </c>
      <c r="F120" s="2" t="s">
        <v>22</v>
      </c>
      <c r="G120" t="s">
        <v>29</v>
      </c>
      <c r="H120" t="s">
        <v>29</v>
      </c>
      <c r="I120" s="2" t="s">
        <v>221</v>
      </c>
      <c r="J120" s="2" t="s">
        <v>451</v>
      </c>
      <c r="K120" s="2" t="s">
        <v>452</v>
      </c>
      <c r="L120" t="s">
        <v>29</v>
      </c>
      <c r="M120" s="2" t="s">
        <v>46</v>
      </c>
      <c r="N120" s="2" t="s">
        <v>453</v>
      </c>
      <c r="O120" s="2" t="s">
        <v>46</v>
      </c>
      <c r="P120" s="2" t="s">
        <v>46</v>
      </c>
      <c r="Q120" s="2" t="s">
        <v>182</v>
      </c>
      <c r="R120" t="s">
        <v>29</v>
      </c>
      <c r="S120" s="2" t="s">
        <v>343</v>
      </c>
    </row>
    <row r="121" spans="1:19" ht="25.5">
      <c r="A121" t="str">
        <f>HYPERLINK("https://www.onsemi.com/PowerSolutions/product.do?id=FGH60T65SQD-F155","FGH60T65SQD-F155")</f>
        <v>FGH60T65SQD-F155</v>
      </c>
      <c r="B121" t="str">
        <f>HYPERLINK("https://www.onsemi.com/pub/Collateral/FGH60T65SQD-F155-D.PDF","FGH60T65SQD-F155/D (391kB)")</f>
        <v>FGH60T65SQD-F155/D (391kB)</v>
      </c>
      <c r="C121" t="s">
        <v>226</v>
      </c>
      <c r="D121" s="2" t="s">
        <v>51</v>
      </c>
      <c r="E121" t="s">
        <v>75</v>
      </c>
      <c r="F121" s="2" t="s">
        <v>22</v>
      </c>
      <c r="G121" s="2" t="s">
        <v>211</v>
      </c>
      <c r="H121" s="2" t="s">
        <v>69</v>
      </c>
      <c r="I121" s="2" t="s">
        <v>221</v>
      </c>
      <c r="J121" s="2" t="s">
        <v>169</v>
      </c>
      <c r="K121" s="2" t="s">
        <v>454</v>
      </c>
      <c r="L121" s="2" t="s">
        <v>455</v>
      </c>
      <c r="M121" s="2" t="s">
        <v>456</v>
      </c>
      <c r="N121" s="2" t="s">
        <v>457</v>
      </c>
      <c r="O121" t="s">
        <v>29</v>
      </c>
      <c r="P121" t="s">
        <v>29</v>
      </c>
      <c r="Q121" s="2" t="s">
        <v>350</v>
      </c>
      <c r="R121" t="s">
        <v>29</v>
      </c>
      <c r="S121" s="2" t="s">
        <v>343</v>
      </c>
    </row>
    <row r="122" spans="1:19" ht="25.5">
      <c r="A122" t="str">
        <f>HYPERLINK("https://www.onsemi.com/PowerSolutions/product.do?id=FGH75N60UF","FGH75N60UF")</f>
        <v>FGH75N60UF</v>
      </c>
      <c r="B122" t="str">
        <f>HYPERLINK("https://www.onsemi.com/pub/Collateral/FGH75N60UF-D.pdf","FGH75N60UF/D (688kB)")</f>
        <v>FGH75N60UF/D (688kB)</v>
      </c>
      <c r="C122" t="s">
        <v>458</v>
      </c>
      <c r="D122" s="2" t="s">
        <v>51</v>
      </c>
      <c r="E122" t="s">
        <v>75</v>
      </c>
      <c r="F122" s="2" t="s">
        <v>142</v>
      </c>
      <c r="G122" s="2" t="s">
        <v>31</v>
      </c>
      <c r="H122" s="2" t="s">
        <v>126</v>
      </c>
      <c r="I122" s="2" t="s">
        <v>46</v>
      </c>
      <c r="J122" s="2" t="s">
        <v>203</v>
      </c>
      <c r="K122" s="2" t="s">
        <v>459</v>
      </c>
      <c r="L122" s="2" t="s">
        <v>46</v>
      </c>
      <c r="M122" s="2" t="s">
        <v>46</v>
      </c>
      <c r="N122" s="2" t="s">
        <v>123</v>
      </c>
      <c r="O122" s="2" t="s">
        <v>46</v>
      </c>
      <c r="P122" s="2" t="s">
        <v>46</v>
      </c>
      <c r="Q122" s="2" t="s">
        <v>460</v>
      </c>
      <c r="R122" s="2" t="s">
        <v>32</v>
      </c>
      <c r="S122" s="2" t="s">
        <v>343</v>
      </c>
    </row>
    <row r="123" spans="1:19" ht="25.5">
      <c r="A123" t="str">
        <f>HYPERLINK("https://www.onsemi.com/PowerSolutions/product.do?id=FGH75T65SHD","FGH75T65SHD")</f>
        <v>FGH75T65SHD</v>
      </c>
      <c r="B123" t="str">
        <f>HYPERLINK("https://www.onsemi.com/pub/Collateral/FGH75T65SHD-D.pdf","FGH75T65SHD/D (1432kB)")</f>
        <v>FGH75T65SHD/D (1432kB)</v>
      </c>
      <c r="C123" t="s">
        <v>461</v>
      </c>
      <c r="D123" s="2" t="s">
        <v>51</v>
      </c>
      <c r="E123" t="s">
        <v>75</v>
      </c>
      <c r="F123" s="2" t="s">
        <v>22</v>
      </c>
      <c r="G123" t="s">
        <v>29</v>
      </c>
      <c r="H123" t="s">
        <v>29</v>
      </c>
      <c r="I123" s="2" t="s">
        <v>168</v>
      </c>
      <c r="J123" s="2" t="s">
        <v>462</v>
      </c>
      <c r="K123" s="2" t="s">
        <v>463</v>
      </c>
      <c r="L123" t="s">
        <v>29</v>
      </c>
      <c r="M123" s="2" t="s">
        <v>46</v>
      </c>
      <c r="N123" s="2" t="s">
        <v>464</v>
      </c>
      <c r="O123" s="2" t="s">
        <v>46</v>
      </c>
      <c r="P123" s="2" t="s">
        <v>46</v>
      </c>
      <c r="Q123" s="2" t="s">
        <v>465</v>
      </c>
      <c r="R123" t="s">
        <v>29</v>
      </c>
      <c r="S123" s="2" t="s">
        <v>343</v>
      </c>
    </row>
    <row r="124" spans="1:19" ht="25.5">
      <c r="A124" t="str">
        <f>HYPERLINK("https://www.onsemi.com/PowerSolutions/product.do?id=FGH75T65SHDT","FGH75T65SHDT")</f>
        <v>FGH75T65SHDT</v>
      </c>
      <c r="B124" t="str">
        <f>HYPERLINK("https://www.onsemi.com/pub/Collateral/FGH75T65SHDT-D.PDF","FGH75T65SHDT/D (1176kB)")</f>
        <v>FGH75T65SHDT/D (1176kB)</v>
      </c>
      <c r="C124" t="s">
        <v>461</v>
      </c>
      <c r="D124" s="2" t="s">
        <v>51</v>
      </c>
      <c r="E124" t="s">
        <v>75</v>
      </c>
      <c r="F124" s="2" t="s">
        <v>22</v>
      </c>
      <c r="G124" t="s">
        <v>29</v>
      </c>
      <c r="H124" t="s">
        <v>29</v>
      </c>
      <c r="I124" s="2" t="s">
        <v>143</v>
      </c>
      <c r="J124" s="2" t="s">
        <v>466</v>
      </c>
      <c r="K124" s="2" t="s">
        <v>99</v>
      </c>
      <c r="L124" s="2" t="s">
        <v>87</v>
      </c>
      <c r="M124" s="2" t="s">
        <v>46</v>
      </c>
      <c r="N124" s="2" t="s">
        <v>464</v>
      </c>
      <c r="O124" s="2" t="s">
        <v>46</v>
      </c>
      <c r="P124" s="2" t="s">
        <v>46</v>
      </c>
      <c r="Q124" s="2" t="s">
        <v>465</v>
      </c>
      <c r="R124" t="s">
        <v>29</v>
      </c>
      <c r="S124" s="2" t="s">
        <v>343</v>
      </c>
    </row>
    <row r="125" spans="1:19" ht="25.5">
      <c r="A125" t="str">
        <f>HYPERLINK("https://www.onsemi.com/PowerSolutions/product.do?id=FGH75T65SHDTL4","FGH75T65SHDTL4")</f>
        <v>FGH75T65SHDTL4</v>
      </c>
      <c r="B125" t="str">
        <f>HYPERLINK("https://www.onsemi.com/pub/Collateral/FGH75T65SHDTL4-D.pdf","FGH75T65SHDTL4/D (420kB)")</f>
        <v>FGH75T65SHDTL4/D (420kB)</v>
      </c>
      <c r="C125" t="s">
        <v>461</v>
      </c>
      <c r="D125" s="2" t="s">
        <v>51</v>
      </c>
      <c r="E125" t="s">
        <v>75</v>
      </c>
      <c r="F125" s="2" t="s">
        <v>22</v>
      </c>
      <c r="G125" s="2" t="s">
        <v>31</v>
      </c>
      <c r="H125" s="2" t="s">
        <v>69</v>
      </c>
      <c r="I125" s="2" t="s">
        <v>143</v>
      </c>
      <c r="J125" s="2" t="s">
        <v>467</v>
      </c>
      <c r="K125" s="2" t="s">
        <v>468</v>
      </c>
      <c r="L125" s="2" t="s">
        <v>87</v>
      </c>
      <c r="M125" s="2" t="s">
        <v>46</v>
      </c>
      <c r="N125" s="2" t="s">
        <v>469</v>
      </c>
      <c r="O125" s="2" t="s">
        <v>46</v>
      </c>
      <c r="P125" s="2" t="s">
        <v>46</v>
      </c>
      <c r="Q125" s="2" t="s">
        <v>465</v>
      </c>
      <c r="R125" s="2" t="s">
        <v>63</v>
      </c>
      <c r="S125" s="2" t="s">
        <v>410</v>
      </c>
    </row>
    <row r="126" spans="1:19" ht="25.5">
      <c r="A126" t="str">
        <f>HYPERLINK("https://www.onsemi.com/PowerSolutions/product.do?id=FGH75T65SHDTLN4","FGH75T65SHDTLN4")</f>
        <v>FGH75T65SHDTLN4</v>
      </c>
      <c r="B126" t="str">
        <f>HYPERLINK("https://www.onsemi.com/pub/Collateral/FGH75T65SHDTLN4-D.PDF","FGH75T65SHDTLN4/D (266kB)")</f>
        <v>FGH75T65SHDTLN4/D (266kB)</v>
      </c>
      <c r="C126" t="s">
        <v>470</v>
      </c>
      <c r="D126" s="2" t="s">
        <v>51</v>
      </c>
      <c r="E126" t="s">
        <v>75</v>
      </c>
      <c r="F126" t="s">
        <v>29</v>
      </c>
      <c r="G126" t="s">
        <v>29</v>
      </c>
      <c r="H126" t="s">
        <v>29</v>
      </c>
      <c r="I126" t="s">
        <v>29</v>
      </c>
      <c r="J126" t="s">
        <v>29</v>
      </c>
      <c r="K126" t="s">
        <v>29</v>
      </c>
      <c r="L126" t="s">
        <v>29</v>
      </c>
      <c r="M126" t="s">
        <v>29</v>
      </c>
      <c r="N126" t="s">
        <v>29</v>
      </c>
      <c r="O126" t="s">
        <v>29</v>
      </c>
      <c r="P126" t="s">
        <v>29</v>
      </c>
      <c r="Q126" t="s">
        <v>29</v>
      </c>
      <c r="R126" t="s">
        <v>29</v>
      </c>
      <c r="S126" s="2" t="s">
        <v>471</v>
      </c>
    </row>
    <row r="127" spans="1:19" ht="25.5">
      <c r="A127" t="str">
        <f>HYPERLINK("https://www.onsemi.com/PowerSolutions/product.do?id=FGH75T65SQD","FGH75T65SQD")</f>
        <v>FGH75T65SQD</v>
      </c>
      <c r="B127" t="str">
        <f>HYPERLINK("https://www.onsemi.com/pub/Collateral/FGH75T65SQD-D.PDF","FGH75T65SQD/D (952kB)")</f>
        <v>FGH75T65SQD/D (952kB)</v>
      </c>
      <c r="C127" t="s">
        <v>461</v>
      </c>
      <c r="D127" s="2" t="s">
        <v>51</v>
      </c>
      <c r="E127" t="s">
        <v>75</v>
      </c>
      <c r="F127" s="2" t="s">
        <v>22</v>
      </c>
      <c r="G127" t="s">
        <v>29</v>
      </c>
      <c r="H127" t="s">
        <v>29</v>
      </c>
      <c r="I127" s="2" t="s">
        <v>108</v>
      </c>
      <c r="J127" s="2" t="s">
        <v>472</v>
      </c>
      <c r="K127" s="2" t="s">
        <v>128</v>
      </c>
      <c r="L127" t="s">
        <v>29</v>
      </c>
      <c r="M127" s="2" t="s">
        <v>46</v>
      </c>
      <c r="N127" s="2" t="s">
        <v>349</v>
      </c>
      <c r="O127" s="2" t="s">
        <v>46</v>
      </c>
      <c r="P127" s="2" t="s">
        <v>46</v>
      </c>
      <c r="Q127" s="2" t="s">
        <v>473</v>
      </c>
      <c r="R127" t="s">
        <v>29</v>
      </c>
      <c r="S127" s="2" t="s">
        <v>343</v>
      </c>
    </row>
    <row r="128" spans="1:19" ht="25.5">
      <c r="A128" t="str">
        <f>HYPERLINK("https://www.onsemi.com/PowerSolutions/product.do?id=FGH75T65SQDNL4","FGH75T65SQDNL4")</f>
        <v>FGH75T65SQDNL4</v>
      </c>
      <c r="B128" t="str">
        <f>HYPERLINK("https://www.onsemi.com/pub/Collateral/FGH75T65SQDNL4-D.PDF","FGH75T65SQDNL4/D (260kB)")</f>
        <v>FGH75T65SQDNL4/D (260kB)</v>
      </c>
      <c r="C128" t="s">
        <v>474</v>
      </c>
      <c r="D128" s="2" t="s">
        <v>51</v>
      </c>
      <c r="E128" t="s">
        <v>75</v>
      </c>
      <c r="F128" s="2" t="s">
        <v>22</v>
      </c>
      <c r="G128" s="2" t="s">
        <v>31</v>
      </c>
      <c r="H128" s="2" t="s">
        <v>475</v>
      </c>
      <c r="I128" s="2" t="s">
        <v>69</v>
      </c>
      <c r="J128" s="2" t="s">
        <v>476</v>
      </c>
      <c r="K128" s="2" t="s">
        <v>320</v>
      </c>
      <c r="L128" s="2" t="s">
        <v>477</v>
      </c>
      <c r="M128" s="2" t="s">
        <v>333</v>
      </c>
      <c r="N128" s="2" t="s">
        <v>349</v>
      </c>
      <c r="O128" t="s">
        <v>29</v>
      </c>
      <c r="P128" t="s">
        <v>29</v>
      </c>
      <c r="Q128" s="2" t="s">
        <v>473</v>
      </c>
      <c r="R128" s="2" t="s">
        <v>63</v>
      </c>
      <c r="S128" s="2" t="s">
        <v>410</v>
      </c>
    </row>
    <row r="129" spans="1:19" ht="25.5">
      <c r="A129" t="str">
        <f>HYPERLINK("https://www.onsemi.com/PowerSolutions/product.do?id=FGH75T65SQDT","FGH75T65SQDT")</f>
        <v>FGH75T65SQDT</v>
      </c>
      <c r="B129" t="str">
        <f>HYPERLINK("https://www.onsemi.com/pub/Collateral/FGH75T65SQDT-D.PDF","FGH75T65SQDT/D (1229kB)")</f>
        <v>FGH75T65SQDT/D (1229kB)</v>
      </c>
      <c r="C129" t="s">
        <v>461</v>
      </c>
      <c r="D129" s="2" t="s">
        <v>51</v>
      </c>
      <c r="E129" t="s">
        <v>75</v>
      </c>
      <c r="F129" s="2" t="s">
        <v>22</v>
      </c>
      <c r="G129" s="2" t="s">
        <v>31</v>
      </c>
      <c r="H129" s="2" t="s">
        <v>69</v>
      </c>
      <c r="I129" s="2" t="s">
        <v>143</v>
      </c>
      <c r="J129" s="2" t="s">
        <v>472</v>
      </c>
      <c r="K129" s="2" t="s">
        <v>128</v>
      </c>
      <c r="L129" s="2" t="s">
        <v>87</v>
      </c>
      <c r="M129" s="2" t="s">
        <v>46</v>
      </c>
      <c r="N129" s="2" t="s">
        <v>349</v>
      </c>
      <c r="O129" s="2" t="s">
        <v>46</v>
      </c>
      <c r="P129" s="2" t="s">
        <v>46</v>
      </c>
      <c r="Q129" s="2" t="s">
        <v>473</v>
      </c>
      <c r="R129" s="2" t="s">
        <v>63</v>
      </c>
      <c r="S129" s="2" t="s">
        <v>343</v>
      </c>
    </row>
    <row r="130" spans="1:19" ht="25.5">
      <c r="A130" t="str">
        <f>HYPERLINK("https://www.onsemi.com/PowerSolutions/product.do?id=FGH75T65SQDTL4","FGH75T65SQDTL4")</f>
        <v>FGH75T65SQDTL4</v>
      </c>
      <c r="B130" t="str">
        <f>HYPERLINK("https://www.onsemi.com/pub/Collateral/FGH75T65SQDTL4-D.pdf","FGH75T65SQDTL4/D (846kB)")</f>
        <v>FGH75T65SQDTL4/D (846kB)</v>
      </c>
      <c r="C130" t="s">
        <v>461</v>
      </c>
      <c r="D130" s="2" t="s">
        <v>51</v>
      </c>
      <c r="E130" t="s">
        <v>75</v>
      </c>
      <c r="F130" s="2" t="s">
        <v>22</v>
      </c>
      <c r="G130" s="2" t="s">
        <v>31</v>
      </c>
      <c r="H130" s="2" t="s">
        <v>69</v>
      </c>
      <c r="I130" s="2" t="s">
        <v>143</v>
      </c>
      <c r="J130" s="2" t="s">
        <v>478</v>
      </c>
      <c r="K130" s="2" t="s">
        <v>479</v>
      </c>
      <c r="L130" s="2" t="s">
        <v>87</v>
      </c>
      <c r="M130" s="2" t="s">
        <v>46</v>
      </c>
      <c r="N130" s="2" t="s">
        <v>349</v>
      </c>
      <c r="O130" s="2" t="s">
        <v>46</v>
      </c>
      <c r="P130" s="2" t="s">
        <v>46</v>
      </c>
      <c r="Q130" s="2" t="s">
        <v>473</v>
      </c>
      <c r="R130" s="2" t="s">
        <v>63</v>
      </c>
      <c r="S130" s="2" t="s">
        <v>410</v>
      </c>
    </row>
    <row r="131" spans="1:19" ht="25.5">
      <c r="A131" t="str">
        <f>HYPERLINK("https://www.onsemi.com/PowerSolutions/product.do?id=FGH80N60FD","FGH80N60FD")</f>
        <v>FGH80N60FD</v>
      </c>
      <c r="B131" t="str">
        <f>HYPERLINK("https://www.onsemi.com/pub/Collateral/FGH80N60FD-D.pdf","FGH80N60FD/D (439kB)")</f>
        <v>FGH80N60FD/D (439kB)</v>
      </c>
      <c r="C131" t="s">
        <v>480</v>
      </c>
      <c r="D131" s="2" t="s">
        <v>51</v>
      </c>
      <c r="E131" t="s">
        <v>75</v>
      </c>
      <c r="F131" s="2" t="s">
        <v>142</v>
      </c>
      <c r="G131" s="2" t="s">
        <v>84</v>
      </c>
      <c r="H131" s="2" t="s">
        <v>143</v>
      </c>
      <c r="I131" s="2" t="s">
        <v>221</v>
      </c>
      <c r="J131" s="2" t="s">
        <v>227</v>
      </c>
      <c r="K131" s="2" t="s">
        <v>327</v>
      </c>
      <c r="L131" s="2" t="s">
        <v>481</v>
      </c>
      <c r="M131" s="2" t="s">
        <v>377</v>
      </c>
      <c r="N131" s="2" t="s">
        <v>101</v>
      </c>
      <c r="O131" s="2" t="s">
        <v>46</v>
      </c>
      <c r="P131" s="2" t="s">
        <v>46</v>
      </c>
      <c r="Q131" s="2" t="s">
        <v>384</v>
      </c>
      <c r="R131" s="2" t="s">
        <v>63</v>
      </c>
      <c r="S131" s="2" t="s">
        <v>343</v>
      </c>
    </row>
    <row r="132" spans="1:19" ht="25.5">
      <c r="A132" t="str">
        <f>HYPERLINK("https://www.onsemi.com/PowerSolutions/product.do?id=FGH80N60FD2","FGH80N60FD2")</f>
        <v>FGH80N60FD2</v>
      </c>
      <c r="B132" t="str">
        <f>HYPERLINK("https://www.onsemi.com/pub/Collateral/FGH80N60FD2-D.pdf","FGH80N60FD2/D (434kB)")</f>
        <v>FGH80N60FD2/D (434kB)</v>
      </c>
      <c r="C132" t="s">
        <v>480</v>
      </c>
      <c r="D132" s="2" t="s">
        <v>51</v>
      </c>
      <c r="E132" t="s">
        <v>75</v>
      </c>
      <c r="F132" s="2" t="s">
        <v>142</v>
      </c>
      <c r="G132" s="2" t="s">
        <v>84</v>
      </c>
      <c r="H132" s="2" t="s">
        <v>143</v>
      </c>
      <c r="I132" s="2" t="s">
        <v>207</v>
      </c>
      <c r="J132" s="2" t="s">
        <v>227</v>
      </c>
      <c r="K132" s="2" t="s">
        <v>327</v>
      </c>
      <c r="L132" s="2" t="s">
        <v>482</v>
      </c>
      <c r="M132" s="2" t="s">
        <v>483</v>
      </c>
      <c r="N132" s="2" t="s">
        <v>101</v>
      </c>
      <c r="O132" s="2" t="s">
        <v>46</v>
      </c>
      <c r="P132" s="2" t="s">
        <v>46</v>
      </c>
      <c r="Q132" s="2" t="s">
        <v>384</v>
      </c>
      <c r="R132" s="2" t="s">
        <v>63</v>
      </c>
      <c r="S132" s="2" t="s">
        <v>343</v>
      </c>
    </row>
    <row r="133" spans="1:19" ht="25.5">
      <c r="A133" t="str">
        <f>HYPERLINK("https://www.onsemi.com/PowerSolutions/product.do?id=FGHL40S65UQ","FGHL40S65UQ")</f>
        <v>FGHL40S65UQ</v>
      </c>
      <c r="B133" t="str">
        <f>HYPERLINK("https://www.onsemi.com/pub/Collateral/FGHL40S65UQ-D.PDF","FGHL40S65UQ/D (243kB)")</f>
        <v>FGHL40S65UQ/D (243kB)</v>
      </c>
      <c r="C133" t="s">
        <v>183</v>
      </c>
      <c r="D133" s="2" t="s">
        <v>51</v>
      </c>
      <c r="E133" t="s">
        <v>75</v>
      </c>
      <c r="F133" s="2" t="s">
        <v>22</v>
      </c>
      <c r="G133" s="2" t="s">
        <v>84</v>
      </c>
      <c r="H133" s="2" t="s">
        <v>484</v>
      </c>
      <c r="I133" s="2" t="s">
        <v>485</v>
      </c>
      <c r="J133" s="2" t="s">
        <v>486</v>
      </c>
      <c r="K133" s="2" t="s">
        <v>418</v>
      </c>
      <c r="L133" s="2" t="s">
        <v>225</v>
      </c>
      <c r="M133" s="2" t="s">
        <v>46</v>
      </c>
      <c r="N133" s="2" t="s">
        <v>487</v>
      </c>
      <c r="O133" s="2" t="s">
        <v>46</v>
      </c>
      <c r="P133" s="2" t="s">
        <v>46</v>
      </c>
      <c r="Q133" s="2" t="s">
        <v>171</v>
      </c>
      <c r="R133" s="2" t="s">
        <v>32</v>
      </c>
      <c r="S133" s="2" t="s">
        <v>64</v>
      </c>
    </row>
    <row r="134" spans="1:19" ht="25.5">
      <c r="A134" t="str">
        <f>HYPERLINK("https://www.onsemi.com/PowerSolutions/product.do?id=FGHL50T65SQ","FGHL50T65SQ")</f>
        <v>FGHL50T65SQ</v>
      </c>
      <c r="B134" t="str">
        <f>HYPERLINK("https://www.onsemi.com/pub/Collateral/FGHL50T65SQ-D.PDF","FGHL50T65SQ/D (294kB)")</f>
        <v>FGHL50T65SQ/D (294kB)</v>
      </c>
      <c r="C134" t="s">
        <v>488</v>
      </c>
      <c r="D134" s="2" t="s">
        <v>51</v>
      </c>
      <c r="E134" t="s">
        <v>75</v>
      </c>
      <c r="F134" s="2" t="s">
        <v>22</v>
      </c>
      <c r="G134" s="2" t="s">
        <v>201</v>
      </c>
      <c r="H134" s="2" t="s">
        <v>69</v>
      </c>
      <c r="I134" s="2" t="s">
        <v>46</v>
      </c>
      <c r="J134" s="2" t="s">
        <v>489</v>
      </c>
      <c r="K134" s="2" t="s">
        <v>490</v>
      </c>
      <c r="L134" s="2" t="s">
        <v>46</v>
      </c>
      <c r="M134" s="2" t="s">
        <v>46</v>
      </c>
      <c r="N134" s="2" t="s">
        <v>305</v>
      </c>
      <c r="O134" s="2" t="s">
        <v>46</v>
      </c>
      <c r="P134" s="2" t="s">
        <v>46</v>
      </c>
      <c r="Q134" s="2" t="s">
        <v>188</v>
      </c>
      <c r="R134" s="2" t="s">
        <v>32</v>
      </c>
      <c r="S134" s="2" t="s">
        <v>64</v>
      </c>
    </row>
    <row r="135" spans="1:19" ht="51">
      <c r="A135" t="str">
        <f>HYPERLINK("https://www.onsemi.com/PowerSolutions/product.do?id=FGI3040G2_F085","FGI3040G2_F085")</f>
        <v>FGI3040G2_F085</v>
      </c>
      <c r="B135" t="str">
        <f>HYPERLINK("https://www.onsemi.com/pub/Collateral/FGI3040G2_F085-D.PDF","FGI3040G2_F085/D (1595kB)")</f>
        <v>FGI3040G2_F085/D (1595kB)</v>
      </c>
      <c r="C135" t="s">
        <v>491</v>
      </c>
      <c r="D135" s="2" t="s">
        <v>42</v>
      </c>
      <c r="E135" t="s">
        <v>75</v>
      </c>
      <c r="F135" s="2" t="s">
        <v>67</v>
      </c>
      <c r="G135" t="s">
        <v>29</v>
      </c>
      <c r="H135" t="s">
        <v>29</v>
      </c>
      <c r="I135" s="2" t="s">
        <v>46</v>
      </c>
      <c r="J135" s="2" t="s">
        <v>46</v>
      </c>
      <c r="K135" s="2" t="s">
        <v>46</v>
      </c>
      <c r="L135" s="2" t="s">
        <v>276</v>
      </c>
      <c r="M135" s="2" t="s">
        <v>46</v>
      </c>
      <c r="N135" s="2" t="s">
        <v>277</v>
      </c>
      <c r="O135" s="2" t="s">
        <v>46</v>
      </c>
      <c r="P135" s="2" t="s">
        <v>46</v>
      </c>
      <c r="Q135" s="2" t="s">
        <v>48</v>
      </c>
      <c r="R135" s="2" t="s">
        <v>46</v>
      </c>
      <c r="S135" s="2" t="s">
        <v>492</v>
      </c>
    </row>
    <row r="136" spans="1:19" ht="51">
      <c r="A136" t="str">
        <f>HYPERLINK("https://www.onsemi.com/PowerSolutions/product.do?id=FGI3236_F085","FGI3236_F085")</f>
        <v>FGI3236_F085</v>
      </c>
      <c r="B136" t="str">
        <f>HYPERLINK("https://www.onsemi.com/pub/Collateral/FGI3236-F085-D.pdf","FGI3236_F085/D (1018kB)")</f>
        <v>FGI3236_F085/D (1018kB)</v>
      </c>
      <c r="C136" t="s">
        <v>493</v>
      </c>
      <c r="D136" s="2" t="s">
        <v>42</v>
      </c>
      <c r="E136" t="s">
        <v>75</v>
      </c>
      <c r="F136" s="2" t="s">
        <v>43</v>
      </c>
      <c r="G136" t="s">
        <v>29</v>
      </c>
      <c r="H136" t="s">
        <v>29</v>
      </c>
      <c r="I136" s="2" t="s">
        <v>46</v>
      </c>
      <c r="J136" s="2" t="s">
        <v>46</v>
      </c>
      <c r="K136" s="2" t="s">
        <v>46</v>
      </c>
      <c r="L136" s="2" t="s">
        <v>284</v>
      </c>
      <c r="M136" s="2" t="s">
        <v>46</v>
      </c>
      <c r="N136" s="2" t="s">
        <v>23</v>
      </c>
      <c r="O136" s="2" t="s">
        <v>46</v>
      </c>
      <c r="P136" s="2" t="s">
        <v>46</v>
      </c>
      <c r="Q136" s="2" t="s">
        <v>285</v>
      </c>
      <c r="R136" s="2" t="s">
        <v>46</v>
      </c>
      <c r="S136" s="2" t="s">
        <v>492</v>
      </c>
    </row>
    <row r="137" spans="1:19">
      <c r="A137" t="str">
        <f>HYPERLINK("https://www.onsemi.com/PowerSolutions/product.do?id=FGL12040WD","FGL12040WD")</f>
        <v>FGL12040WD</v>
      </c>
      <c r="B137" t="str">
        <f>HYPERLINK("https://www.onsemi.com/pub/Collateral/FGL12040WD-D.pdf","FGL12040WD/D (1139kB)")</f>
        <v>FGL12040WD/D (1139kB)</v>
      </c>
      <c r="C137" t="s">
        <v>339</v>
      </c>
      <c r="D137" s="2" t="s">
        <v>20</v>
      </c>
      <c r="E137" t="s">
        <v>75</v>
      </c>
      <c r="F137" s="2" t="s">
        <v>97</v>
      </c>
      <c r="G137" s="2" t="s">
        <v>84</v>
      </c>
      <c r="H137" s="2" t="s">
        <v>221</v>
      </c>
      <c r="I137" s="2" t="s">
        <v>180</v>
      </c>
      <c r="J137" s="2" t="s">
        <v>327</v>
      </c>
      <c r="K137" s="2" t="s">
        <v>133</v>
      </c>
      <c r="L137" s="2" t="s">
        <v>494</v>
      </c>
      <c r="M137" s="2" t="s">
        <v>495</v>
      </c>
      <c r="N137" s="2" t="s">
        <v>341</v>
      </c>
      <c r="O137" s="2" t="s">
        <v>46</v>
      </c>
      <c r="P137" s="2" t="s">
        <v>46</v>
      </c>
      <c r="Q137" s="2" t="s">
        <v>496</v>
      </c>
      <c r="R137" s="2" t="s">
        <v>63</v>
      </c>
      <c r="S137" s="2" t="s">
        <v>497</v>
      </c>
    </row>
    <row r="138" spans="1:19">
      <c r="A138" t="str">
        <f>HYPERLINK("https://www.onsemi.com/PowerSolutions/product.do?id=FGL35N120FTD","FGL35N120FTD")</f>
        <v>FGL35N120FTD</v>
      </c>
      <c r="B138" t="str">
        <f>HYPERLINK("https://www.onsemi.com/pub/Collateral/FGL35N120FTD-D.pdf","FGL35N120FTD/D (656kB)")</f>
        <v>FGL35N120FTD/D (656kB)</v>
      </c>
      <c r="C138" t="s">
        <v>498</v>
      </c>
      <c r="D138" s="2" t="s">
        <v>20</v>
      </c>
      <c r="E138" t="s">
        <v>75</v>
      </c>
      <c r="F138" s="2" t="s">
        <v>97</v>
      </c>
      <c r="G138" s="2" t="s">
        <v>159</v>
      </c>
      <c r="H138" s="2" t="s">
        <v>499</v>
      </c>
      <c r="I138" s="2" t="s">
        <v>404</v>
      </c>
      <c r="J138" s="2" t="s">
        <v>98</v>
      </c>
      <c r="K138" s="2" t="s">
        <v>206</v>
      </c>
      <c r="L138" s="2" t="s">
        <v>500</v>
      </c>
      <c r="M138" s="2" t="s">
        <v>501</v>
      </c>
      <c r="N138" s="2" t="s">
        <v>502</v>
      </c>
      <c r="O138" s="2" t="s">
        <v>46</v>
      </c>
      <c r="P138" s="2" t="s">
        <v>46</v>
      </c>
      <c r="Q138" s="2" t="s">
        <v>503</v>
      </c>
      <c r="R138" s="2" t="s">
        <v>63</v>
      </c>
      <c r="S138" s="2" t="s">
        <v>497</v>
      </c>
    </row>
    <row r="139" spans="1:19">
      <c r="A139" t="str">
        <f>HYPERLINK("https://www.onsemi.com/PowerSolutions/product.do?id=FGL40N120AN","FGL40N120AN")</f>
        <v>FGL40N120AN</v>
      </c>
      <c r="B139" t="str">
        <f>HYPERLINK("https://www.onsemi.com/pub/Collateral/FGL40N120AN-D.pdf","FGL40N120AN/D (569kB)")</f>
        <v>FGL40N120AN/D (569kB)</v>
      </c>
      <c r="C139" t="s">
        <v>376</v>
      </c>
      <c r="D139" s="2" t="s">
        <v>20</v>
      </c>
      <c r="E139" t="s">
        <v>75</v>
      </c>
      <c r="F139" s="2" t="s">
        <v>97</v>
      </c>
      <c r="G139" s="2" t="s">
        <v>84</v>
      </c>
      <c r="H139" s="2" t="s">
        <v>377</v>
      </c>
      <c r="I139" s="2" t="s">
        <v>46</v>
      </c>
      <c r="J139" s="2" t="s">
        <v>316</v>
      </c>
      <c r="K139" s="2" t="s">
        <v>221</v>
      </c>
      <c r="L139" s="2" t="s">
        <v>46</v>
      </c>
      <c r="M139" s="2" t="s">
        <v>46</v>
      </c>
      <c r="N139" s="2" t="s">
        <v>81</v>
      </c>
      <c r="O139" s="2" t="s">
        <v>333</v>
      </c>
      <c r="P139" s="2" t="s">
        <v>46</v>
      </c>
      <c r="Q139" s="2" t="s">
        <v>372</v>
      </c>
      <c r="R139" s="2" t="s">
        <v>32</v>
      </c>
      <c r="S139" s="2" t="s">
        <v>497</v>
      </c>
    </row>
    <row r="140" spans="1:19">
      <c r="A140" t="str">
        <f>HYPERLINK("https://www.onsemi.com/PowerSolutions/product.do?id=FGL40N120AND","FGL40N120AND")</f>
        <v>FGL40N120AND</v>
      </c>
      <c r="B140" t="str">
        <f>HYPERLINK("https://www.onsemi.com/pub/Collateral/FGL40N120AND-D.pdf","FGL40N120AND/D (703kB)")</f>
        <v>FGL40N120AND/D (703kB)</v>
      </c>
      <c r="C140" t="s">
        <v>376</v>
      </c>
      <c r="D140" s="2" t="s">
        <v>20</v>
      </c>
      <c r="E140" t="s">
        <v>75</v>
      </c>
      <c r="F140" s="2" t="s">
        <v>97</v>
      </c>
      <c r="G140" s="2" t="s">
        <v>84</v>
      </c>
      <c r="H140" s="2" t="s">
        <v>377</v>
      </c>
      <c r="I140" s="2" t="s">
        <v>504</v>
      </c>
      <c r="J140" s="2" t="s">
        <v>316</v>
      </c>
      <c r="K140" s="2" t="s">
        <v>221</v>
      </c>
      <c r="L140" s="2" t="s">
        <v>31</v>
      </c>
      <c r="M140" s="2" t="s">
        <v>427</v>
      </c>
      <c r="N140" s="2" t="s">
        <v>81</v>
      </c>
      <c r="O140" s="2" t="s">
        <v>333</v>
      </c>
      <c r="P140" s="2" t="s">
        <v>46</v>
      </c>
      <c r="Q140" s="2" t="s">
        <v>372</v>
      </c>
      <c r="R140" s="2" t="s">
        <v>63</v>
      </c>
      <c r="S140" s="2" t="s">
        <v>497</v>
      </c>
    </row>
    <row r="141" spans="1:19">
      <c r="A141" t="str">
        <f>HYPERLINK("https://www.onsemi.com/PowerSolutions/product.do?id=FGP10N60UNDF","FGP10N60UNDF")</f>
        <v>FGP10N60UNDF</v>
      </c>
      <c r="B141" t="str">
        <f>HYPERLINK("https://www.onsemi.com/pub/Collateral/FGP10N60UNDF-D.pdf","FGP10N60UNDF/D (328kB)")</f>
        <v>FGP10N60UNDF/D (328kB)</v>
      </c>
      <c r="C141" t="s">
        <v>505</v>
      </c>
      <c r="D141" s="2" t="s">
        <v>20</v>
      </c>
      <c r="E141" t="s">
        <v>75</v>
      </c>
      <c r="F141" s="2" t="s">
        <v>142</v>
      </c>
      <c r="G141" s="2" t="s">
        <v>333</v>
      </c>
      <c r="H141" s="2" t="s">
        <v>108</v>
      </c>
      <c r="I141" s="2" t="s">
        <v>143</v>
      </c>
      <c r="J141" s="2" t="s">
        <v>506</v>
      </c>
      <c r="K141" s="2" t="s">
        <v>507</v>
      </c>
      <c r="L141" s="2" t="s">
        <v>508</v>
      </c>
      <c r="M141" s="2" t="s">
        <v>46</v>
      </c>
      <c r="N141" s="2" t="s">
        <v>509</v>
      </c>
      <c r="O141" s="2" t="s">
        <v>46</v>
      </c>
      <c r="P141" s="2" t="s">
        <v>46</v>
      </c>
      <c r="Q141" s="2" t="s">
        <v>510</v>
      </c>
      <c r="R141" s="2" t="s">
        <v>63</v>
      </c>
      <c r="S141" s="2" t="s">
        <v>511</v>
      </c>
    </row>
    <row r="142" spans="1:19">
      <c r="A142" t="str">
        <f>HYPERLINK("https://www.onsemi.com/PowerSolutions/product.do?id=FGP15N60UNDF","FGP15N60UNDF")</f>
        <v>FGP15N60UNDF</v>
      </c>
      <c r="B142" t="str">
        <f>HYPERLINK("https://www.onsemi.com/pub/Collateral/FGP15N60UNDF-D.pdf","FGP15N60UNDF/D (381kB)")</f>
        <v>FGP15N60UNDF/D (381kB)</v>
      </c>
      <c r="C142" t="s">
        <v>512</v>
      </c>
      <c r="D142" s="2" t="s">
        <v>20</v>
      </c>
      <c r="E142" t="s">
        <v>75</v>
      </c>
      <c r="F142" s="2" t="s">
        <v>142</v>
      </c>
      <c r="G142" s="2" t="s">
        <v>106</v>
      </c>
      <c r="H142" s="2" t="s">
        <v>168</v>
      </c>
      <c r="I142" s="2" t="s">
        <v>69</v>
      </c>
      <c r="J142" s="2" t="s">
        <v>513</v>
      </c>
      <c r="K142" s="2" t="s">
        <v>263</v>
      </c>
      <c r="L142" s="2" t="s">
        <v>514</v>
      </c>
      <c r="M142" s="2" t="s">
        <v>46</v>
      </c>
      <c r="N142" s="2" t="s">
        <v>152</v>
      </c>
      <c r="O142" s="2" t="s">
        <v>46</v>
      </c>
      <c r="P142" s="2" t="s">
        <v>46</v>
      </c>
      <c r="Q142" s="2" t="s">
        <v>515</v>
      </c>
      <c r="R142" s="2" t="s">
        <v>63</v>
      </c>
      <c r="S142" s="2" t="s">
        <v>511</v>
      </c>
    </row>
    <row r="143" spans="1:19">
      <c r="A143" t="str">
        <f>HYPERLINK("https://www.onsemi.com/PowerSolutions/product.do?id=FGP20N60UFD","FGP20N60UFD")</f>
        <v>FGP20N60UFD</v>
      </c>
      <c r="B143" t="str">
        <f>HYPERLINK("https://www.onsemi.com/pub/Collateral/FGP20N60UFD-D.pdf","FGP20N60UFD/D (485kB)")</f>
        <v>FGP20N60UFD/D (485kB)</v>
      </c>
      <c r="C143" t="s">
        <v>244</v>
      </c>
      <c r="D143" s="2" t="s">
        <v>20</v>
      </c>
      <c r="E143" t="s">
        <v>75</v>
      </c>
      <c r="F143" s="2" t="s">
        <v>142</v>
      </c>
      <c r="G143" s="2" t="s">
        <v>23</v>
      </c>
      <c r="H143" s="2" t="s">
        <v>143</v>
      </c>
      <c r="I143" s="2" t="s">
        <v>126</v>
      </c>
      <c r="J143" s="2" t="s">
        <v>178</v>
      </c>
      <c r="K143" s="2" t="s">
        <v>357</v>
      </c>
      <c r="L143" s="2" t="s">
        <v>265</v>
      </c>
      <c r="M143" s="2" t="s">
        <v>46</v>
      </c>
      <c r="N143" s="2" t="s">
        <v>268</v>
      </c>
      <c r="O143" s="2" t="s">
        <v>46</v>
      </c>
      <c r="P143" s="2" t="s">
        <v>46</v>
      </c>
      <c r="Q143" s="2" t="s">
        <v>355</v>
      </c>
      <c r="R143" s="2" t="s">
        <v>63</v>
      </c>
      <c r="S143" s="2" t="s">
        <v>511</v>
      </c>
    </row>
    <row r="144" spans="1:19" ht="51">
      <c r="A144" t="str">
        <f>HYPERLINK("https://www.onsemi.com/PowerSolutions/product.do?id=FGP3040G2_F085","FGP3040G2_F085")</f>
        <v>FGP3040G2_F085</v>
      </c>
      <c r="B144" t="str">
        <f>HYPERLINK("https://www.onsemi.com/pub/Collateral/FGI3040G2_F085-D.PDF","FGI3040G2_F085/D (1595kB)")</f>
        <v>FGI3040G2_F085/D (1595kB)</v>
      </c>
      <c r="C144" t="s">
        <v>516</v>
      </c>
      <c r="D144" s="2" t="s">
        <v>42</v>
      </c>
      <c r="E144" t="s">
        <v>75</v>
      </c>
      <c r="F144" s="2" t="s">
        <v>67</v>
      </c>
      <c r="G144" t="s">
        <v>29</v>
      </c>
      <c r="H144" t="s">
        <v>29</v>
      </c>
      <c r="I144" s="2" t="s">
        <v>46</v>
      </c>
      <c r="J144" s="2" t="s">
        <v>46</v>
      </c>
      <c r="K144" s="2" t="s">
        <v>46</v>
      </c>
      <c r="L144" s="2" t="s">
        <v>126</v>
      </c>
      <c r="M144" s="2" t="s">
        <v>46</v>
      </c>
      <c r="N144" s="2" t="s">
        <v>277</v>
      </c>
      <c r="O144" s="2" t="s">
        <v>46</v>
      </c>
      <c r="P144" s="2" t="s">
        <v>46</v>
      </c>
      <c r="Q144" s="2" t="s">
        <v>48</v>
      </c>
      <c r="R144" s="2" t="s">
        <v>63</v>
      </c>
      <c r="S144" s="2" t="s">
        <v>511</v>
      </c>
    </row>
    <row r="145" spans="1:19" ht="51">
      <c r="A145" t="str">
        <f>HYPERLINK("https://www.onsemi.com/PowerSolutions/product.do?id=FGP3440G2_F085","FGP3440G2_F085")</f>
        <v>FGP3440G2_F085</v>
      </c>
      <c r="B145" t="str">
        <f>HYPERLINK("https://www.onsemi.com/pub/Collateral/FGB3440G2-F085-D.pdf","FGB3440G2_F085/D (580kB)")</f>
        <v>FGB3440G2_F085/D (580kB)</v>
      </c>
      <c r="C145" t="s">
        <v>517</v>
      </c>
      <c r="D145" s="2" t="s">
        <v>42</v>
      </c>
      <c r="E145" t="s">
        <v>75</v>
      </c>
      <c r="F145" s="2" t="s">
        <v>67</v>
      </c>
      <c r="G145" t="s">
        <v>29</v>
      </c>
      <c r="H145" t="s">
        <v>29</v>
      </c>
      <c r="I145" s="2" t="s">
        <v>46</v>
      </c>
      <c r="J145" s="2" t="s">
        <v>46</v>
      </c>
      <c r="K145" s="2" t="s">
        <v>46</v>
      </c>
      <c r="L145" s="2" t="s">
        <v>290</v>
      </c>
      <c r="M145" s="2" t="s">
        <v>46</v>
      </c>
      <c r="N145" s="2" t="s">
        <v>324</v>
      </c>
      <c r="O145" s="2" t="s">
        <v>46</v>
      </c>
      <c r="P145" s="2" t="s">
        <v>46</v>
      </c>
      <c r="Q145" s="2" t="s">
        <v>291</v>
      </c>
      <c r="R145" s="2" t="s">
        <v>63</v>
      </c>
      <c r="S145" s="2" t="s">
        <v>511</v>
      </c>
    </row>
    <row r="146" spans="1:19">
      <c r="A146" t="str">
        <f>HYPERLINK("https://www.onsemi.com/PowerSolutions/product.do?id=FGP5N60LS","FGP5N60LS")</f>
        <v>FGP5N60LS</v>
      </c>
      <c r="B146" t="str">
        <f>HYPERLINK("https://www.onsemi.com/pub/Collateral/FGP5N60LS-D.pdf","FGP5N60LS/D (395kB)")</f>
        <v>FGP5N60LS/D (395kB)</v>
      </c>
      <c r="C146" t="s">
        <v>518</v>
      </c>
      <c r="D146" s="2" t="s">
        <v>20</v>
      </c>
      <c r="E146" t="s">
        <v>75</v>
      </c>
      <c r="F146" s="2" t="s">
        <v>142</v>
      </c>
      <c r="G146" s="2" t="s">
        <v>296</v>
      </c>
      <c r="H146" s="2" t="s">
        <v>98</v>
      </c>
      <c r="I146" s="2" t="s">
        <v>46</v>
      </c>
      <c r="J146" s="2" t="s">
        <v>519</v>
      </c>
      <c r="K146" s="2" t="s">
        <v>30</v>
      </c>
      <c r="L146" s="2" t="s">
        <v>46</v>
      </c>
      <c r="M146" s="2" t="s">
        <v>46</v>
      </c>
      <c r="N146" s="2" t="s">
        <v>520</v>
      </c>
      <c r="O146" s="2" t="s">
        <v>46</v>
      </c>
      <c r="P146" s="2" t="s">
        <v>46</v>
      </c>
      <c r="Q146" s="2" t="s">
        <v>40</v>
      </c>
      <c r="R146" s="2" t="s">
        <v>32</v>
      </c>
      <c r="S146" s="2" t="s">
        <v>511</v>
      </c>
    </row>
    <row r="147" spans="1:19">
      <c r="A147" t="str">
        <f>HYPERLINK("https://www.onsemi.com/PowerSolutions/product.do?id=FGPF10N60UNDF","FGPF10N60UNDF")</f>
        <v>FGPF10N60UNDF</v>
      </c>
      <c r="B147" t="str">
        <f>HYPERLINK("https://www.onsemi.com/pub/Collateral/FGPF10N60UNDF-D.pdf","FGPF10N60UNDF/D (382kB)")</f>
        <v>FGPF10N60UNDF/D (382kB)</v>
      </c>
      <c r="C147" t="s">
        <v>505</v>
      </c>
      <c r="D147" s="2" t="s">
        <v>20</v>
      </c>
      <c r="E147" t="s">
        <v>75</v>
      </c>
      <c r="F147" s="2" t="s">
        <v>142</v>
      </c>
      <c r="G147" s="2" t="s">
        <v>333</v>
      </c>
      <c r="H147" s="2" t="s">
        <v>108</v>
      </c>
      <c r="I147" s="2" t="s">
        <v>143</v>
      </c>
      <c r="J147" s="2" t="s">
        <v>506</v>
      </c>
      <c r="K147" s="2" t="s">
        <v>507</v>
      </c>
      <c r="L147" s="2" t="s">
        <v>508</v>
      </c>
      <c r="M147" s="2" t="s">
        <v>46</v>
      </c>
      <c r="N147" s="2" t="s">
        <v>509</v>
      </c>
      <c r="O147" s="2" t="s">
        <v>333</v>
      </c>
      <c r="P147" s="2" t="s">
        <v>46</v>
      </c>
      <c r="Q147" s="2" t="s">
        <v>521</v>
      </c>
      <c r="R147" s="2" t="s">
        <v>63</v>
      </c>
      <c r="S147" s="2" t="s">
        <v>522</v>
      </c>
    </row>
    <row r="148" spans="1:19">
      <c r="A148" t="str">
        <f>HYPERLINK("https://www.onsemi.com/PowerSolutions/product.do?id=FGPF15N60UNDF","FGPF15N60UNDF")</f>
        <v>FGPF15N60UNDF</v>
      </c>
      <c r="B148" t="str">
        <f>HYPERLINK("https://www.onsemi.com/pub/Collateral/FGPF15N60UNDF-D.pdf","FGPF15N60UNDF/D (443kB)")</f>
        <v>FGPF15N60UNDF/D (443kB)</v>
      </c>
      <c r="C148" t="s">
        <v>512</v>
      </c>
      <c r="D148" s="2" t="s">
        <v>20</v>
      </c>
      <c r="E148" t="s">
        <v>75</v>
      </c>
      <c r="F148" s="2" t="s">
        <v>142</v>
      </c>
      <c r="G148" s="2" t="s">
        <v>106</v>
      </c>
      <c r="H148" s="2" t="s">
        <v>168</v>
      </c>
      <c r="I148" s="2" t="s">
        <v>69</v>
      </c>
      <c r="J148" s="2" t="s">
        <v>513</v>
      </c>
      <c r="K148" s="2" t="s">
        <v>263</v>
      </c>
      <c r="L148" s="2" t="s">
        <v>514</v>
      </c>
      <c r="M148" s="2" t="s">
        <v>46</v>
      </c>
      <c r="N148" s="2" t="s">
        <v>152</v>
      </c>
      <c r="O148" s="2" t="s">
        <v>46</v>
      </c>
      <c r="P148" s="2" t="s">
        <v>46</v>
      </c>
      <c r="Q148" s="2" t="s">
        <v>521</v>
      </c>
      <c r="R148" s="2" t="s">
        <v>63</v>
      </c>
      <c r="S148" s="2" t="s">
        <v>522</v>
      </c>
    </row>
    <row r="149" spans="1:19" ht="25.5">
      <c r="A149" t="str">
        <f>HYPERLINK("https://www.onsemi.com/PowerSolutions/product.do?id=FGPF4565","FGPF4565")</f>
        <v>FGPF4565</v>
      </c>
      <c r="B149" t="str">
        <f>HYPERLINK("https://www.onsemi.com/pub/Collateral/FGPF4565-D.pdf","FGPF4565/D (369kB)")</f>
        <v>FGPF4565/D (369kB)</v>
      </c>
      <c r="C149" t="s">
        <v>523</v>
      </c>
      <c r="D149" s="2" t="s">
        <v>51</v>
      </c>
      <c r="E149" t="s">
        <v>75</v>
      </c>
      <c r="F149" s="2" t="s">
        <v>22</v>
      </c>
      <c r="G149" s="2" t="s">
        <v>524</v>
      </c>
      <c r="H149" s="2" t="s">
        <v>76</v>
      </c>
      <c r="I149" s="2" t="s">
        <v>46</v>
      </c>
      <c r="J149" s="2" t="s">
        <v>46</v>
      </c>
      <c r="K149" s="2" t="s">
        <v>46</v>
      </c>
      <c r="L149" s="2" t="s">
        <v>46</v>
      </c>
      <c r="M149" s="2" t="s">
        <v>46</v>
      </c>
      <c r="N149" s="2" t="s">
        <v>525</v>
      </c>
      <c r="O149" s="2" t="s">
        <v>46</v>
      </c>
      <c r="P149" s="2" t="s">
        <v>46</v>
      </c>
      <c r="Q149" s="2" t="s">
        <v>35</v>
      </c>
      <c r="R149" s="2" t="s">
        <v>32</v>
      </c>
      <c r="S149" s="2" t="s">
        <v>522</v>
      </c>
    </row>
    <row r="150" spans="1:19" ht="25.5">
      <c r="A150" t="str">
        <f>HYPERLINK("https://www.onsemi.com/PowerSolutions/product.do?id=FGY100T65SCDT","FGY100T65SCDT")</f>
        <v>FGY100T65SCDT</v>
      </c>
      <c r="B150" t="str">
        <f>HYPERLINK("https://www.onsemi.com/pub/Collateral/FGY100T65SCDT-D.PDF","FGY100T65SCDT/D (310kB)")</f>
        <v>FGY100T65SCDT/D (310kB)</v>
      </c>
      <c r="C150" t="s">
        <v>526</v>
      </c>
      <c r="D150" s="2" t="s">
        <v>51</v>
      </c>
      <c r="E150" t="s">
        <v>75</v>
      </c>
      <c r="F150" s="2" t="s">
        <v>22</v>
      </c>
      <c r="G150" s="2" t="s">
        <v>257</v>
      </c>
      <c r="H150" s="2" t="s">
        <v>76</v>
      </c>
      <c r="I150" s="2" t="s">
        <v>499</v>
      </c>
      <c r="J150" s="2" t="s">
        <v>362</v>
      </c>
      <c r="K150" s="2" t="s">
        <v>527</v>
      </c>
      <c r="L150" s="2" t="s">
        <v>528</v>
      </c>
      <c r="M150" s="2" t="s">
        <v>46</v>
      </c>
      <c r="N150" s="2" t="s">
        <v>529</v>
      </c>
      <c r="O150" s="2" t="s">
        <v>296</v>
      </c>
      <c r="P150" s="2" t="s">
        <v>46</v>
      </c>
      <c r="Q150" s="2" t="s">
        <v>530</v>
      </c>
      <c r="R150" s="2" t="s">
        <v>63</v>
      </c>
      <c r="S150" s="2" t="s">
        <v>343</v>
      </c>
    </row>
    <row r="151" spans="1:19" ht="38.25">
      <c r="A151" t="str">
        <f>HYPERLINK("https://www.onsemi.com/PowerSolutions/product.do?id=FGY120T65S_F085","FGY120T65S_F085")</f>
        <v>FGY120T65S_F085</v>
      </c>
      <c r="B151" t="str">
        <f>HYPERLINK("https://www.onsemi.com/pub/Collateral/FGY120T65S_F085-D.PDF","FGY120T65S_F085/D (579kB)")</f>
        <v>FGY120T65S_F085/D (579kB)</v>
      </c>
      <c r="C151" t="s">
        <v>531</v>
      </c>
      <c r="D151" s="2" t="s">
        <v>74</v>
      </c>
      <c r="E151" t="s">
        <v>75</v>
      </c>
      <c r="F151" s="2" t="s">
        <v>22</v>
      </c>
      <c r="G151" s="2" t="s">
        <v>532</v>
      </c>
      <c r="H151" t="s">
        <v>29</v>
      </c>
      <c r="I151" s="2" t="s">
        <v>25</v>
      </c>
      <c r="J151" s="2" t="s">
        <v>533</v>
      </c>
      <c r="K151" s="2" t="s">
        <v>308</v>
      </c>
      <c r="L151" s="2" t="s">
        <v>464</v>
      </c>
      <c r="M151" s="2" t="s">
        <v>46</v>
      </c>
      <c r="N151" s="2" t="s">
        <v>534</v>
      </c>
      <c r="O151" s="2" t="s">
        <v>326</v>
      </c>
      <c r="P151" s="2" t="s">
        <v>46</v>
      </c>
      <c r="Q151" s="2" t="s">
        <v>535</v>
      </c>
      <c r="R151" t="s">
        <v>29</v>
      </c>
      <c r="S151" s="2" t="s">
        <v>343</v>
      </c>
    </row>
    <row r="152" spans="1:19" ht="38.25">
      <c r="A152" t="str">
        <f>HYPERLINK("https://www.onsemi.com/PowerSolutions/product.do?id=FGY160T65S_F085","FGY160T65S_F085")</f>
        <v>FGY160T65S_F085</v>
      </c>
      <c r="B152" t="str">
        <f>HYPERLINK("https://www.onsemi.com/pub/Collateral/FGY160T65SPD-F085-D.PDF","FGY160T65SPD-F085/D (3265kB)")</f>
        <v>FGY160T65SPD-F085/D (3265kB)</v>
      </c>
      <c r="C152" t="s">
        <v>536</v>
      </c>
      <c r="D152" s="2" t="s">
        <v>74</v>
      </c>
      <c r="E152" t="s">
        <v>75</v>
      </c>
      <c r="F152" s="2" t="s">
        <v>22</v>
      </c>
      <c r="G152" s="2" t="s">
        <v>532</v>
      </c>
      <c r="H152" t="s">
        <v>29</v>
      </c>
      <c r="I152" s="2" t="s">
        <v>24</v>
      </c>
      <c r="J152" s="2" t="s">
        <v>537</v>
      </c>
      <c r="K152" s="2" t="s">
        <v>538</v>
      </c>
      <c r="L152" s="2" t="s">
        <v>539</v>
      </c>
      <c r="M152" s="2" t="s">
        <v>46</v>
      </c>
      <c r="N152" s="2" t="s">
        <v>540</v>
      </c>
      <c r="O152" s="2" t="s">
        <v>326</v>
      </c>
      <c r="P152" s="2" t="s">
        <v>46</v>
      </c>
      <c r="Q152" s="2" t="s">
        <v>535</v>
      </c>
      <c r="R152" t="s">
        <v>29</v>
      </c>
      <c r="S152" s="2" t="s">
        <v>343</v>
      </c>
    </row>
    <row r="153" spans="1:19" ht="25.5">
      <c r="A153" t="str">
        <f>HYPERLINK("https://www.onsemi.com/PowerSolutions/product.do?id=FGY40T120SMD","FGY40T120SMD")</f>
        <v>FGY40T120SMD</v>
      </c>
      <c r="B153" t="str">
        <f>HYPERLINK("https://www.onsemi.com/pub/Collateral/FGY40T120SMD-D.pdf","FGY40T120SMD/D (656kB)")</f>
        <v>FGY40T120SMD/D (656kB)</v>
      </c>
      <c r="C153" t="s">
        <v>339</v>
      </c>
      <c r="D153" s="2" t="s">
        <v>51</v>
      </c>
      <c r="E153" t="s">
        <v>75</v>
      </c>
      <c r="F153" s="2" t="s">
        <v>97</v>
      </c>
      <c r="G153" s="2" t="s">
        <v>84</v>
      </c>
      <c r="H153" s="2" t="s">
        <v>143</v>
      </c>
      <c r="I153" s="2" t="s">
        <v>403</v>
      </c>
      <c r="J153" s="2" t="s">
        <v>316</v>
      </c>
      <c r="K153" s="2" t="s">
        <v>404</v>
      </c>
      <c r="L153" s="2" t="s">
        <v>134</v>
      </c>
      <c r="M153" s="2" t="s">
        <v>46</v>
      </c>
      <c r="N153" s="2" t="s">
        <v>405</v>
      </c>
      <c r="O153" s="2" t="s">
        <v>46</v>
      </c>
      <c r="P153" s="2" t="s">
        <v>46</v>
      </c>
      <c r="Q153" s="2" t="s">
        <v>535</v>
      </c>
      <c r="R153" s="2" t="s">
        <v>63</v>
      </c>
      <c r="S153" s="2" t="s">
        <v>343</v>
      </c>
    </row>
    <row r="154" spans="1:19" ht="25.5">
      <c r="A154" t="str">
        <f>HYPERLINK("https://www.onsemi.com/PowerSolutions/product.do?id=FGY60T120SQDN","FGY60T120SQDN")</f>
        <v>FGY60T120SQDN</v>
      </c>
      <c r="B154" t="str">
        <f>HYPERLINK("https://www.onsemi.com/pub/Collateral/FGY60T120SQDN-D.PDF","FGY60T120SQDN/D (227kB)")</f>
        <v>FGY60T120SQDN/D (227kB)</v>
      </c>
      <c r="C154" t="s">
        <v>541</v>
      </c>
      <c r="D154" s="2" t="s">
        <v>51</v>
      </c>
      <c r="E154" t="s">
        <v>75</v>
      </c>
      <c r="F154" s="2" t="s">
        <v>97</v>
      </c>
      <c r="G154" s="2" t="s">
        <v>211</v>
      </c>
      <c r="H154" s="2" t="s">
        <v>98</v>
      </c>
      <c r="I154" t="s">
        <v>29</v>
      </c>
      <c r="J154" t="s">
        <v>29</v>
      </c>
      <c r="K154" t="s">
        <v>29</v>
      </c>
      <c r="L154" t="s">
        <v>29</v>
      </c>
      <c r="M154" t="s">
        <v>29</v>
      </c>
      <c r="N154" t="s">
        <v>29</v>
      </c>
      <c r="O154" t="s">
        <v>29</v>
      </c>
      <c r="P154" t="s">
        <v>29</v>
      </c>
      <c r="Q154" t="s">
        <v>29</v>
      </c>
      <c r="R154" t="s">
        <v>29</v>
      </c>
      <c r="S154" s="2" t="s">
        <v>343</v>
      </c>
    </row>
    <row r="155" spans="1:19" ht="25.5">
      <c r="A155" t="str">
        <f>HYPERLINK("https://www.onsemi.com/PowerSolutions/product.do?id=FGY75N60SMD","FGY75N60SMD")</f>
        <v>FGY75N60SMD</v>
      </c>
      <c r="B155" t="str">
        <f>HYPERLINK("https://www.onsemi.com/pub/Collateral/FGY75N60SMD-D.pdf","FGY75N60SMD/D (636kB)")</f>
        <v>FGY75N60SMD/D (636kB)</v>
      </c>
      <c r="C155" t="s">
        <v>458</v>
      </c>
      <c r="D155" s="2" t="s">
        <v>51</v>
      </c>
      <c r="E155" t="s">
        <v>75</v>
      </c>
      <c r="F155" s="2" t="s">
        <v>142</v>
      </c>
      <c r="G155" s="2" t="s">
        <v>31</v>
      </c>
      <c r="H155" s="2" t="s">
        <v>126</v>
      </c>
      <c r="I155" s="2" t="s">
        <v>121</v>
      </c>
      <c r="J155" s="2" t="s">
        <v>542</v>
      </c>
      <c r="K155" s="2" t="s">
        <v>221</v>
      </c>
      <c r="L155" s="2" t="s">
        <v>469</v>
      </c>
      <c r="M155" s="2" t="s">
        <v>46</v>
      </c>
      <c r="N155" s="2" t="s">
        <v>543</v>
      </c>
      <c r="O155" s="2" t="s">
        <v>46</v>
      </c>
      <c r="P155" s="2" t="s">
        <v>46</v>
      </c>
      <c r="Q155" s="2" t="s">
        <v>530</v>
      </c>
      <c r="R155" s="2" t="s">
        <v>63</v>
      </c>
      <c r="S155" s="2" t="s">
        <v>343</v>
      </c>
    </row>
    <row r="156" spans="1:19" ht="25.5">
      <c r="A156" t="str">
        <f>HYPERLINK("https://www.onsemi.com/PowerSolutions/product.do?id=FGY75T120SQDN","FGY75T120SQDN")</f>
        <v>FGY75T120SQDN</v>
      </c>
      <c r="B156" t="str">
        <f>HYPERLINK("https://www.onsemi.com/pub/Collateral/FGY75T120SQDN-D.PDF","FGY75T120SQDN/D (599kB)")</f>
        <v>FGY75T120SQDN/D (599kB)</v>
      </c>
      <c r="C156" t="s">
        <v>544</v>
      </c>
      <c r="D156" s="2" t="s">
        <v>51</v>
      </c>
      <c r="E156" t="s">
        <v>75</v>
      </c>
      <c r="F156" s="2" t="s">
        <v>97</v>
      </c>
      <c r="G156" s="2" t="s">
        <v>31</v>
      </c>
      <c r="H156" s="2" t="s">
        <v>98</v>
      </c>
      <c r="I156" s="2" t="s">
        <v>398</v>
      </c>
      <c r="J156" s="2" t="s">
        <v>216</v>
      </c>
      <c r="K156" s="2" t="s">
        <v>545</v>
      </c>
      <c r="L156" s="2" t="s">
        <v>305</v>
      </c>
      <c r="M156" s="2" t="s">
        <v>23</v>
      </c>
      <c r="N156" s="2" t="s">
        <v>546</v>
      </c>
      <c r="O156" t="s">
        <v>29</v>
      </c>
      <c r="P156" t="s">
        <v>29</v>
      </c>
      <c r="Q156" s="2" t="s">
        <v>547</v>
      </c>
      <c r="R156" s="2" t="s">
        <v>63</v>
      </c>
      <c r="S156" s="2" t="s">
        <v>343</v>
      </c>
    </row>
    <row r="157" spans="1:19">
      <c r="A157" t="str">
        <f>HYPERLINK("https://www.onsemi.com/PowerSolutions/product.do?id=HGT1S10N120BNS","HGT1S10N120BNS")</f>
        <v>HGT1S10N120BNS</v>
      </c>
      <c r="B157" t="str">
        <f>HYPERLINK("https://www.onsemi.com/pub/Collateral/HGTP10N120BN-D.pdf","HGTP10N120BN/D (296kB)")</f>
        <v>HGTP10N120BN/D (296kB)</v>
      </c>
      <c r="C157" t="s">
        <v>376</v>
      </c>
      <c r="D157" s="2" t="s">
        <v>20</v>
      </c>
      <c r="E157" t="s">
        <v>75</v>
      </c>
      <c r="F157" s="2" t="s">
        <v>97</v>
      </c>
      <c r="G157" s="2" t="s">
        <v>68</v>
      </c>
      <c r="H157" s="2" t="s">
        <v>548</v>
      </c>
      <c r="I157" s="2" t="s">
        <v>46</v>
      </c>
      <c r="J157" s="2" t="s">
        <v>549</v>
      </c>
      <c r="K157" s="2" t="s">
        <v>550</v>
      </c>
      <c r="L157" s="2" t="s">
        <v>46</v>
      </c>
      <c r="M157" s="2" t="s">
        <v>46</v>
      </c>
      <c r="N157" s="2" t="s">
        <v>257</v>
      </c>
      <c r="O157" s="2" t="s">
        <v>427</v>
      </c>
      <c r="P157" s="2" t="s">
        <v>380</v>
      </c>
      <c r="Q157" s="2" t="s">
        <v>119</v>
      </c>
      <c r="R157" s="2" t="s">
        <v>32</v>
      </c>
      <c r="S157" s="2" t="s">
        <v>82</v>
      </c>
    </row>
    <row r="158" spans="1:19">
      <c r="A158" t="str">
        <f>HYPERLINK("https://www.onsemi.com/PowerSolutions/product.do?id=HGTD1N120BNS","HGTD1N120BNS")</f>
        <v>HGTD1N120BNS</v>
      </c>
      <c r="B158" t="str">
        <f>HYPERLINK("https://www.onsemi.com/pub/Collateral/HGTD1N120BNS-D.pdf","HGTD1N120BNS/D (217kB)")</f>
        <v>HGTD1N120BNS/D (217kB)</v>
      </c>
      <c r="C158" t="s">
        <v>376</v>
      </c>
      <c r="D158" s="2" t="s">
        <v>20</v>
      </c>
      <c r="E158" t="s">
        <v>75</v>
      </c>
      <c r="F158" s="2" t="s">
        <v>97</v>
      </c>
      <c r="G158" s="2" t="s">
        <v>404</v>
      </c>
      <c r="H158" s="2" t="s">
        <v>206</v>
      </c>
      <c r="I158" s="2" t="s">
        <v>46</v>
      </c>
      <c r="J158" s="2" t="s">
        <v>551</v>
      </c>
      <c r="K158" s="2" t="s">
        <v>298</v>
      </c>
      <c r="L158" s="2" t="s">
        <v>46</v>
      </c>
      <c r="M158" s="2" t="s">
        <v>46</v>
      </c>
      <c r="N158" s="2" t="s">
        <v>495</v>
      </c>
      <c r="O158" s="2" t="s">
        <v>427</v>
      </c>
      <c r="P158" s="2" t="s">
        <v>333</v>
      </c>
      <c r="Q158" s="2" t="s">
        <v>211</v>
      </c>
      <c r="R158" s="2" t="s">
        <v>32</v>
      </c>
      <c r="S158" s="2" t="s">
        <v>310</v>
      </c>
    </row>
    <row r="159" spans="1:19">
      <c r="A159" t="str">
        <f>HYPERLINK("https://www.onsemi.com/PowerSolutions/product.do?id=HGTG18N120BND","HGTG18N120BND")</f>
        <v>HGTG18N120BND</v>
      </c>
      <c r="B159" t="str">
        <f>HYPERLINK("https://www.onsemi.com/pub/Collateral/HGTG18N120BND-D.pdf","HGTG18N120BND/D (385kB)")</f>
        <v>HGTG18N120BND/D (385kB)</v>
      </c>
      <c r="C159" t="s">
        <v>376</v>
      </c>
      <c r="D159" s="2" t="s">
        <v>20</v>
      </c>
      <c r="E159" t="s">
        <v>75</v>
      </c>
      <c r="F159" s="2" t="s">
        <v>97</v>
      </c>
      <c r="G159" s="2" t="s">
        <v>145</v>
      </c>
      <c r="H159" s="2" t="s">
        <v>548</v>
      </c>
      <c r="I159" s="2" t="s">
        <v>46</v>
      </c>
      <c r="J159" s="2" t="s">
        <v>143</v>
      </c>
      <c r="K159" s="2" t="s">
        <v>126</v>
      </c>
      <c r="L159" s="2" t="s">
        <v>552</v>
      </c>
      <c r="M159" s="2" t="s">
        <v>46</v>
      </c>
      <c r="N159" s="2" t="s">
        <v>355</v>
      </c>
      <c r="O159" s="2" t="s">
        <v>427</v>
      </c>
      <c r="P159" s="2" t="s">
        <v>46</v>
      </c>
      <c r="Q159" s="2" t="s">
        <v>553</v>
      </c>
      <c r="R159" s="2" t="s">
        <v>63</v>
      </c>
      <c r="S159" s="2" t="s">
        <v>343</v>
      </c>
    </row>
    <row r="160" spans="1:19">
      <c r="A160" t="str">
        <f>HYPERLINK("https://www.onsemi.com/PowerSolutions/product.do?id=HGTG20N60A4","HGTG20N60A4")</f>
        <v>HGTG20N60A4</v>
      </c>
      <c r="B160" t="str">
        <f>HYPERLINK("https://www.onsemi.com/pub/Collateral/HGTP20N60A4-D.pdf","HGTP20N60A4/D (352kB)")</f>
        <v>HGTP20N60A4/D (352kB)</v>
      </c>
      <c r="C160" t="s">
        <v>554</v>
      </c>
      <c r="D160" s="2" t="s">
        <v>20</v>
      </c>
      <c r="E160" t="s">
        <v>75</v>
      </c>
      <c r="F160" s="2" t="s">
        <v>142</v>
      </c>
      <c r="G160" s="2" t="s">
        <v>84</v>
      </c>
      <c r="H160" s="2" t="s">
        <v>143</v>
      </c>
      <c r="I160" s="2" t="s">
        <v>46</v>
      </c>
      <c r="J160" s="2" t="s">
        <v>507</v>
      </c>
      <c r="K160" s="2" t="s">
        <v>293</v>
      </c>
      <c r="L160" s="2" t="s">
        <v>46</v>
      </c>
      <c r="M160" s="2" t="s">
        <v>46</v>
      </c>
      <c r="N160" s="2" t="s">
        <v>514</v>
      </c>
      <c r="O160" s="2" t="s">
        <v>46</v>
      </c>
      <c r="P160" s="2" t="s">
        <v>46</v>
      </c>
      <c r="Q160" s="2" t="s">
        <v>384</v>
      </c>
      <c r="R160" s="2" t="s">
        <v>32</v>
      </c>
      <c r="S160" s="2" t="s">
        <v>343</v>
      </c>
    </row>
    <row r="161" spans="1:19">
      <c r="A161" t="str">
        <f>HYPERLINK("https://www.onsemi.com/PowerSolutions/product.do?id=HGTG30N60A4","HGTG30N60A4")</f>
        <v>HGTG30N60A4</v>
      </c>
      <c r="B161" t="str">
        <f>HYPERLINK("https://www.onsemi.com/pub/Collateral/HGTG30N60A4-D.pdf","HGTG30N60A4/D (374kB)")</f>
        <v>HGTG30N60A4/D (374kB)</v>
      </c>
      <c r="C161" t="s">
        <v>554</v>
      </c>
      <c r="D161" s="2" t="s">
        <v>20</v>
      </c>
      <c r="E161" t="s">
        <v>75</v>
      </c>
      <c r="F161" s="2" t="s">
        <v>142</v>
      </c>
      <c r="G161" s="2" t="s">
        <v>211</v>
      </c>
      <c r="H161" s="2" t="s">
        <v>143</v>
      </c>
      <c r="I161" s="2" t="s">
        <v>46</v>
      </c>
      <c r="J161" s="2" t="s">
        <v>555</v>
      </c>
      <c r="K161" s="2" t="s">
        <v>293</v>
      </c>
      <c r="L161" s="2" t="s">
        <v>46</v>
      </c>
      <c r="M161" s="2" t="s">
        <v>46</v>
      </c>
      <c r="N161" s="2" t="s">
        <v>369</v>
      </c>
      <c r="O161" s="2" t="s">
        <v>46</v>
      </c>
      <c r="P161" s="2" t="s">
        <v>46</v>
      </c>
      <c r="Q161" s="2" t="s">
        <v>429</v>
      </c>
      <c r="R161" s="2" t="s">
        <v>32</v>
      </c>
      <c r="S161" s="2" t="s">
        <v>343</v>
      </c>
    </row>
    <row r="162" spans="1:19">
      <c r="A162" t="str">
        <f>HYPERLINK("https://www.onsemi.com/PowerSolutions/product.do?id=HGTG30N60B3","HGTG30N60B3")</f>
        <v>HGTG30N60B3</v>
      </c>
      <c r="B162" t="str">
        <f>HYPERLINK("https://www.onsemi.com/pub/Collateral/HGTG30N60B3-D.pdf","HGTG30N60B3/D (411kB)")</f>
        <v>HGTG30N60B3/D (411kB)</v>
      </c>
      <c r="C162" t="s">
        <v>253</v>
      </c>
      <c r="D162" s="2" t="s">
        <v>20</v>
      </c>
      <c r="E162" t="s">
        <v>75</v>
      </c>
      <c r="F162" s="2" t="s">
        <v>142</v>
      </c>
      <c r="G162" s="2" t="s">
        <v>35</v>
      </c>
      <c r="H162" s="2" t="s">
        <v>184</v>
      </c>
      <c r="I162" s="2" t="s">
        <v>46</v>
      </c>
      <c r="J162" s="2" t="s">
        <v>556</v>
      </c>
      <c r="K162" s="2" t="s">
        <v>109</v>
      </c>
      <c r="L162" s="2" t="s">
        <v>46</v>
      </c>
      <c r="M162" s="2" t="s">
        <v>46</v>
      </c>
      <c r="N162" s="2" t="s">
        <v>524</v>
      </c>
      <c r="O162" s="2" t="s">
        <v>46</v>
      </c>
      <c r="P162" s="2" t="s">
        <v>257</v>
      </c>
      <c r="Q162" s="2" t="s">
        <v>153</v>
      </c>
      <c r="R162" s="2" t="s">
        <v>32</v>
      </c>
      <c r="S162" s="2" t="s">
        <v>343</v>
      </c>
    </row>
    <row r="163" spans="1:19">
      <c r="A163" t="str">
        <f>HYPERLINK("https://www.onsemi.com/PowerSolutions/product.do?id=HGTP3N60A4","HGTP3N60A4")</f>
        <v>HGTP3N60A4</v>
      </c>
      <c r="B163" t="str">
        <f>HYPERLINK("https://www.onsemi.com/pub/Collateral/HGTP3N60A4-D.pdf","HGTP3N60A4/D (259kB)")</f>
        <v>HGTP3N60A4/D (259kB)</v>
      </c>
      <c r="C163" t="s">
        <v>554</v>
      </c>
      <c r="D163" s="2" t="s">
        <v>20</v>
      </c>
      <c r="E163" t="s">
        <v>75</v>
      </c>
      <c r="F163" s="2" t="s">
        <v>142</v>
      </c>
      <c r="G163" s="2" t="s">
        <v>427</v>
      </c>
      <c r="H163" s="2" t="s">
        <v>108</v>
      </c>
      <c r="I163" s="2" t="s">
        <v>46</v>
      </c>
      <c r="J163" s="2" t="s">
        <v>557</v>
      </c>
      <c r="K163" s="2" t="s">
        <v>558</v>
      </c>
      <c r="L163" s="2" t="s">
        <v>46</v>
      </c>
      <c r="M163" s="2" t="s">
        <v>46</v>
      </c>
      <c r="N163" s="2" t="s">
        <v>277</v>
      </c>
      <c r="O163" s="2" t="s">
        <v>46</v>
      </c>
      <c r="P163" s="2" t="s">
        <v>348</v>
      </c>
      <c r="Q163" s="2" t="s">
        <v>306</v>
      </c>
      <c r="R163" s="2" t="s">
        <v>32</v>
      </c>
      <c r="S163" s="2" t="s">
        <v>511</v>
      </c>
    </row>
    <row r="164" spans="1:19">
      <c r="A164" t="str">
        <f>HYPERLINK("https://www.onsemi.com/PowerSolutions/product.do?id=HGTP7N60A4","HGTP7N60A4")</f>
        <v>HGTP7N60A4</v>
      </c>
      <c r="B164" t="str">
        <f>HYPERLINK("https://www.onsemi.com/pub/Collateral/HGTP7N60A4-D.PDF","HGTP7N60A4/D (242kB)")</f>
        <v>HGTP7N60A4/D (242kB)</v>
      </c>
      <c r="C164" t="s">
        <v>554</v>
      </c>
      <c r="D164" s="2" t="s">
        <v>20</v>
      </c>
      <c r="E164" t="s">
        <v>75</v>
      </c>
      <c r="F164" s="2" t="s">
        <v>142</v>
      </c>
      <c r="G164" t="s">
        <v>29</v>
      </c>
      <c r="H164" t="s">
        <v>29</v>
      </c>
      <c r="I164" s="2" t="s">
        <v>46</v>
      </c>
      <c r="J164" s="2" t="s">
        <v>559</v>
      </c>
      <c r="K164" s="2" t="s">
        <v>560</v>
      </c>
      <c r="L164" s="2" t="s">
        <v>46</v>
      </c>
      <c r="M164" s="2" t="s">
        <v>46</v>
      </c>
      <c r="N164" s="2" t="s">
        <v>509</v>
      </c>
      <c r="O164" s="2" t="s">
        <v>46</v>
      </c>
      <c r="P164" s="2" t="s">
        <v>359</v>
      </c>
      <c r="Q164" s="2" t="s">
        <v>482</v>
      </c>
      <c r="R164" t="s">
        <v>29</v>
      </c>
      <c r="S164" s="2" t="s">
        <v>511</v>
      </c>
    </row>
    <row r="165" spans="1:19" ht="38.25">
      <c r="A165" t="str">
        <f>HYPERLINK("https://www.onsemi.com/PowerSolutions/product.do?id=ISL9V2040D_F085","ISL9V2040D_F085")</f>
        <v>ISL9V2040D_F085</v>
      </c>
      <c r="B165" t="str">
        <f>HYPERLINK("https://www.onsemi.com/pub/Collateral/ISL9V2040D-F085-D.pdf","ISL9V2040D_F085/D (414kB)")</f>
        <v>ISL9V2040D_F085/D (414kB)</v>
      </c>
      <c r="C165" t="s">
        <v>70</v>
      </c>
      <c r="D165" s="2" t="s">
        <v>74</v>
      </c>
      <c r="E165" t="s">
        <v>75</v>
      </c>
      <c r="F165" s="2" t="s">
        <v>67</v>
      </c>
      <c r="G165" s="2" t="s">
        <v>333</v>
      </c>
      <c r="H165" s="2" t="s">
        <v>126</v>
      </c>
      <c r="I165" s="2" t="s">
        <v>46</v>
      </c>
      <c r="J165" s="2" t="s">
        <v>46</v>
      </c>
      <c r="K165" s="2" t="s">
        <v>46</v>
      </c>
      <c r="L165" s="2" t="s">
        <v>561</v>
      </c>
      <c r="M165" s="2" t="s">
        <v>46</v>
      </c>
      <c r="N165" s="2" t="s">
        <v>348</v>
      </c>
      <c r="O165" s="2" t="s">
        <v>46</v>
      </c>
      <c r="P165" s="2" t="s">
        <v>46</v>
      </c>
      <c r="Q165" s="2" t="s">
        <v>519</v>
      </c>
      <c r="R165" s="2" t="s">
        <v>46</v>
      </c>
      <c r="S165" s="2" t="s">
        <v>310</v>
      </c>
    </row>
    <row r="166" spans="1:19" ht="38.25">
      <c r="A166" t="str">
        <f>HYPERLINK("https://www.onsemi.com/PowerSolutions/product.do?id=ISL9V2040S_F085","ISL9V2040S_F085")</f>
        <v>ISL9V2040S_F085</v>
      </c>
      <c r="B166" t="str">
        <f>HYPERLINK("https://www.onsemi.com/pub/Collateral/ISL9V2040D-F085-D.pdf","ISL9V2040D_F085/D (414kB)")</f>
        <v>ISL9V2040D_F085/D (414kB)</v>
      </c>
      <c r="C166" t="s">
        <v>70</v>
      </c>
      <c r="D166" s="2" t="s">
        <v>74</v>
      </c>
      <c r="E166" t="s">
        <v>75</v>
      </c>
      <c r="F166" s="2" t="s">
        <v>67</v>
      </c>
      <c r="G166" s="2" t="s">
        <v>333</v>
      </c>
      <c r="H166" s="2" t="s">
        <v>126</v>
      </c>
      <c r="I166" s="2" t="s">
        <v>46</v>
      </c>
      <c r="J166" s="2" t="s">
        <v>46</v>
      </c>
      <c r="K166" s="2" t="s">
        <v>46</v>
      </c>
      <c r="L166" s="2" t="s">
        <v>561</v>
      </c>
      <c r="M166" s="2" t="s">
        <v>46</v>
      </c>
      <c r="N166" s="2" t="s">
        <v>348</v>
      </c>
      <c r="O166" s="2" t="s">
        <v>46</v>
      </c>
      <c r="P166" s="2" t="s">
        <v>46</v>
      </c>
      <c r="Q166" s="2" t="s">
        <v>519</v>
      </c>
      <c r="R166" s="2" t="s">
        <v>46</v>
      </c>
      <c r="S166" s="2" t="s">
        <v>82</v>
      </c>
    </row>
    <row r="167" spans="1:19" ht="38.25">
      <c r="A167" t="str">
        <f>HYPERLINK("https://www.onsemi.com/PowerSolutions/product.do?id=ISL9V2540S_F085","ISL9V2540S_F085")</f>
        <v>ISL9V2540S_F085</v>
      </c>
      <c r="B167" t="str">
        <f>HYPERLINK("https://www.onsemi.com/pub/Collateral/ISL9V2540S-F085-D.pdf","ISL9V2540S_F085/D (454kB)")</f>
        <v>ISL9V2540S_F085/D (454kB)</v>
      </c>
      <c r="C167" t="s">
        <v>562</v>
      </c>
      <c r="D167" s="2" t="s">
        <v>74</v>
      </c>
      <c r="E167" t="s">
        <v>75</v>
      </c>
      <c r="F167" s="2" t="s">
        <v>67</v>
      </c>
      <c r="G167" s="2" t="s">
        <v>106</v>
      </c>
      <c r="H167" s="2" t="s">
        <v>143</v>
      </c>
      <c r="I167" s="2" t="s">
        <v>46</v>
      </c>
      <c r="J167" s="2" t="s">
        <v>46</v>
      </c>
      <c r="K167" s="2" t="s">
        <v>46</v>
      </c>
      <c r="L167" s="2" t="s">
        <v>561</v>
      </c>
      <c r="M167" s="2" t="s">
        <v>46</v>
      </c>
      <c r="N167" s="2" t="s">
        <v>563</v>
      </c>
      <c r="O167" s="2" t="s">
        <v>46</v>
      </c>
      <c r="P167" s="2" t="s">
        <v>46</v>
      </c>
      <c r="Q167" s="2" t="s">
        <v>564</v>
      </c>
      <c r="R167" s="2" t="s">
        <v>46</v>
      </c>
      <c r="S167" s="2" t="s">
        <v>82</v>
      </c>
    </row>
    <row r="168" spans="1:19" ht="38.25">
      <c r="A168" t="str">
        <f>HYPERLINK("https://www.onsemi.com/PowerSolutions/product.do?id=ISL9V3036S_F085","ISL9V3036S_F085")</f>
        <v>ISL9V3036S_F085</v>
      </c>
      <c r="B168" t="str">
        <f>HYPERLINK("https://www.onsemi.com/pub/Collateral/ISL9V3036S-F085-D.pdf","ISL9V3036S_F085/D (539kB)")</f>
        <v>ISL9V3036S_F085/D (539kB)</v>
      </c>
      <c r="C168" t="s">
        <v>72</v>
      </c>
      <c r="D168" s="2" t="s">
        <v>74</v>
      </c>
      <c r="E168" t="s">
        <v>75</v>
      </c>
      <c r="F168" s="2" t="s">
        <v>43</v>
      </c>
      <c r="G168" s="2" t="s">
        <v>68</v>
      </c>
      <c r="H168" s="2" t="s">
        <v>565</v>
      </c>
      <c r="I168" s="2" t="s">
        <v>46</v>
      </c>
      <c r="J168" s="2" t="s">
        <v>46</v>
      </c>
      <c r="K168" s="2" t="s">
        <v>46</v>
      </c>
      <c r="L168" s="2" t="s">
        <v>566</v>
      </c>
      <c r="M168" s="2" t="s">
        <v>46</v>
      </c>
      <c r="N168" s="2" t="s">
        <v>68</v>
      </c>
      <c r="O168" s="2" t="s">
        <v>46</v>
      </c>
      <c r="P168" s="2" t="s">
        <v>46</v>
      </c>
      <c r="Q168" s="2" t="s">
        <v>48</v>
      </c>
      <c r="R168" s="2" t="s">
        <v>46</v>
      </c>
      <c r="S168" s="2" t="s">
        <v>82</v>
      </c>
    </row>
    <row r="169" spans="1:19" ht="38.25">
      <c r="A169" t="str">
        <f>HYPERLINK("https://www.onsemi.com/PowerSolutions/product.do?id=ISL9V3040D3ST-F085C","ISL9V3040D3ST-F085C")</f>
        <v>ISL9V3040D3ST-F085C</v>
      </c>
      <c r="B169" t="str">
        <f>HYPERLINK("https://www.onsemi.com/pub/Collateral/ISL9V3040-F085C-D.PDF","ISL9V3040-F085C/D (3025kB)")</f>
        <v>ISL9V3040-F085C/D (3025kB)</v>
      </c>
      <c r="C169" t="s">
        <v>65</v>
      </c>
      <c r="D169" s="2" t="s">
        <v>74</v>
      </c>
      <c r="E169" t="s">
        <v>75</v>
      </c>
      <c r="F169" s="2" t="s">
        <v>67</v>
      </c>
      <c r="G169" s="2" t="s">
        <v>68</v>
      </c>
      <c r="H169" s="2" t="s">
        <v>69</v>
      </c>
      <c r="I169" t="s">
        <v>29</v>
      </c>
      <c r="J169" t="s">
        <v>29</v>
      </c>
      <c r="K169" t="s">
        <v>29</v>
      </c>
      <c r="L169" t="s">
        <v>29</v>
      </c>
      <c r="M169" t="s">
        <v>29</v>
      </c>
      <c r="N169" s="2" t="s">
        <v>68</v>
      </c>
      <c r="O169" t="s">
        <v>29</v>
      </c>
      <c r="P169" t="s">
        <v>29</v>
      </c>
      <c r="Q169" s="2" t="s">
        <v>48</v>
      </c>
      <c r="R169" t="s">
        <v>29</v>
      </c>
      <c r="S169" s="2" t="s">
        <v>310</v>
      </c>
    </row>
    <row r="170" spans="1:19" ht="38.25">
      <c r="A170" t="str">
        <f>HYPERLINK("https://www.onsemi.com/PowerSolutions/product.do?id=ISL9V3040D_F085","ISL9V3040D_F085")</f>
        <v>ISL9V3040D_F085</v>
      </c>
      <c r="B170" t="str">
        <f>HYPERLINK("https://www.onsemi.com/pub/Collateral/ISL9V3040D-F085-D.pdf","ISL9V3040D_F085/D (476kB)")</f>
        <v>ISL9V3040D_F085/D (476kB)</v>
      </c>
      <c r="C170" t="s">
        <v>567</v>
      </c>
      <c r="D170" s="2" t="s">
        <v>74</v>
      </c>
      <c r="E170" t="s">
        <v>75</v>
      </c>
      <c r="F170" s="2" t="s">
        <v>67</v>
      </c>
      <c r="G170" s="2" t="s">
        <v>68</v>
      </c>
      <c r="H170" s="2" t="s">
        <v>69</v>
      </c>
      <c r="I170" s="2" t="s">
        <v>46</v>
      </c>
      <c r="J170" s="2" t="s">
        <v>46</v>
      </c>
      <c r="K170" s="2" t="s">
        <v>46</v>
      </c>
      <c r="L170" s="2" t="s">
        <v>566</v>
      </c>
      <c r="M170" s="2" t="s">
        <v>46</v>
      </c>
      <c r="N170" s="2" t="s">
        <v>68</v>
      </c>
      <c r="O170" s="2" t="s">
        <v>46</v>
      </c>
      <c r="P170" s="2" t="s">
        <v>46</v>
      </c>
      <c r="Q170" s="2" t="s">
        <v>48</v>
      </c>
      <c r="R170" s="2" t="s">
        <v>46</v>
      </c>
      <c r="S170" s="2" t="s">
        <v>310</v>
      </c>
    </row>
    <row r="171" spans="1:19" ht="38.25">
      <c r="A171" t="str">
        <f>HYPERLINK("https://www.onsemi.com/PowerSolutions/product.do?id=ISL9V3040P3","ISL9V3040P3")</f>
        <v>ISL9V3040P3</v>
      </c>
      <c r="B171" t="str">
        <f>HYPERLINK("https://www.onsemi.com/pub/Collateral/ISL9V3040P3-D.PDF","ISL9V3040P3/D (359kB)")</f>
        <v>ISL9V3040P3/D (359kB)</v>
      </c>
      <c r="C171" t="s">
        <v>568</v>
      </c>
      <c r="D171" s="2" t="s">
        <v>74</v>
      </c>
      <c r="E171" t="s">
        <v>75</v>
      </c>
      <c r="F171" s="2" t="s">
        <v>67</v>
      </c>
      <c r="G171" s="2" t="s">
        <v>68</v>
      </c>
      <c r="H171" s="2" t="s">
        <v>69</v>
      </c>
      <c r="I171" s="2" t="s">
        <v>46</v>
      </c>
      <c r="J171" s="2" t="s">
        <v>46</v>
      </c>
      <c r="K171" s="2" t="s">
        <v>46</v>
      </c>
      <c r="L171" s="2" t="s">
        <v>566</v>
      </c>
      <c r="M171" s="2" t="s">
        <v>46</v>
      </c>
      <c r="N171" s="2" t="s">
        <v>68</v>
      </c>
      <c r="O171" s="2" t="s">
        <v>46</v>
      </c>
      <c r="P171" s="2" t="s">
        <v>46</v>
      </c>
      <c r="Q171" s="2" t="s">
        <v>48</v>
      </c>
      <c r="R171" s="2" t="s">
        <v>46</v>
      </c>
      <c r="S171" s="2" t="s">
        <v>511</v>
      </c>
    </row>
    <row r="172" spans="1:19" ht="38.25">
      <c r="A172" t="str">
        <f>HYPERLINK("https://www.onsemi.com/PowerSolutions/product.do?id=ISL9V3040S3ST-F085C","ISL9V3040S3ST-F085C")</f>
        <v>ISL9V3040S3ST-F085C</v>
      </c>
      <c r="B172" t="str">
        <f>HYPERLINK("https://www.onsemi.com/pub/Collateral/ISL9V3040-F085C-D.PDF","ISL9V3040-F085C/D (3025kB)")</f>
        <v>ISL9V3040-F085C/D (3025kB)</v>
      </c>
      <c r="C172" t="s">
        <v>569</v>
      </c>
      <c r="D172" s="2" t="s">
        <v>74</v>
      </c>
      <c r="E172" t="s">
        <v>75</v>
      </c>
      <c r="F172" s="2" t="s">
        <v>67</v>
      </c>
      <c r="G172" s="2" t="s">
        <v>68</v>
      </c>
      <c r="H172" s="2" t="s">
        <v>69</v>
      </c>
      <c r="I172" t="s">
        <v>29</v>
      </c>
      <c r="J172" t="s">
        <v>29</v>
      </c>
      <c r="K172" t="s">
        <v>29</v>
      </c>
      <c r="L172" s="2" t="s">
        <v>276</v>
      </c>
      <c r="M172" t="s">
        <v>29</v>
      </c>
      <c r="N172" t="s">
        <v>29</v>
      </c>
      <c r="O172" t="s">
        <v>29</v>
      </c>
      <c r="P172" t="s">
        <v>29</v>
      </c>
      <c r="Q172" s="2" t="s">
        <v>48</v>
      </c>
      <c r="R172" t="s">
        <v>29</v>
      </c>
      <c r="S172" s="2" t="s">
        <v>82</v>
      </c>
    </row>
    <row r="173" spans="1:19" ht="38.25">
      <c r="A173" t="str">
        <f>HYPERLINK("https://www.onsemi.com/PowerSolutions/product.do?id=ISL9V3040S_F085","ISL9V3040S_F085")</f>
        <v>ISL9V3040S_F085</v>
      </c>
      <c r="B173" t="str">
        <f>HYPERLINK("https://www.onsemi.com/pub/Collateral/ISL9V3040P3-D.PDF","ISL9V3040P3/D (359kB)")</f>
        <v>ISL9V3040P3/D (359kB)</v>
      </c>
      <c r="C173" t="s">
        <v>570</v>
      </c>
      <c r="D173" s="2" t="s">
        <v>74</v>
      </c>
      <c r="E173" t="s">
        <v>75</v>
      </c>
      <c r="F173" s="2" t="s">
        <v>67</v>
      </c>
      <c r="G173" s="2" t="s">
        <v>68</v>
      </c>
      <c r="H173" s="2" t="s">
        <v>69</v>
      </c>
      <c r="I173" s="2" t="s">
        <v>46</v>
      </c>
      <c r="J173" s="2" t="s">
        <v>46</v>
      </c>
      <c r="K173" s="2" t="s">
        <v>46</v>
      </c>
      <c r="L173" s="2" t="s">
        <v>566</v>
      </c>
      <c r="M173" s="2" t="s">
        <v>46</v>
      </c>
      <c r="N173" s="2" t="s">
        <v>68</v>
      </c>
      <c r="O173" s="2" t="s">
        <v>46</v>
      </c>
      <c r="P173" s="2" t="s">
        <v>46</v>
      </c>
      <c r="Q173" s="2" t="s">
        <v>48</v>
      </c>
      <c r="R173" s="2" t="s">
        <v>46</v>
      </c>
      <c r="S173" s="2" t="s">
        <v>82</v>
      </c>
    </row>
    <row r="174" spans="1:19" ht="38.25">
      <c r="A174" t="str">
        <f>HYPERLINK("https://www.onsemi.com/PowerSolutions/product.do?id=ISL9V5036P_F085","ISL9V5036P_F085")</f>
        <v>ISL9V5036P_F085</v>
      </c>
      <c r="B174" t="str">
        <f>HYPERLINK("https://www.onsemi.com/pub/Collateral/ISL9V5036P_F085-D.PDF","ISL9V5036P_F085/D (314kB)")</f>
        <v>ISL9V5036P_F085/D (314kB)</v>
      </c>
      <c r="C174" t="s">
        <v>571</v>
      </c>
      <c r="D174" s="2" t="s">
        <v>74</v>
      </c>
      <c r="E174" t="s">
        <v>75</v>
      </c>
      <c r="F174" s="2" t="s">
        <v>43</v>
      </c>
      <c r="G174" t="s">
        <v>29</v>
      </c>
      <c r="H174" t="s">
        <v>29</v>
      </c>
      <c r="I174" s="2" t="s">
        <v>46</v>
      </c>
      <c r="J174" s="2" t="s">
        <v>46</v>
      </c>
      <c r="K174" s="2" t="s">
        <v>46</v>
      </c>
      <c r="L174" s="2" t="s">
        <v>566</v>
      </c>
      <c r="M174" s="2" t="s">
        <v>46</v>
      </c>
      <c r="N174" s="2" t="s">
        <v>315</v>
      </c>
      <c r="O174" s="2" t="s">
        <v>46</v>
      </c>
      <c r="P174" s="2" t="s">
        <v>46</v>
      </c>
      <c r="Q174" s="2" t="s">
        <v>123</v>
      </c>
      <c r="R174" s="2" t="s">
        <v>46</v>
      </c>
      <c r="S174" s="2" t="s">
        <v>511</v>
      </c>
    </row>
    <row r="175" spans="1:19" ht="38.25">
      <c r="A175" t="str">
        <f>HYPERLINK("https://www.onsemi.com/PowerSolutions/product.do?id=ISL9V5036S3ST","ISL9V5036S3ST")</f>
        <v>ISL9V5036S3ST</v>
      </c>
      <c r="B175" t="str">
        <f>HYPERLINK("https://www.onsemi.com/pub/Collateral/ISL9V5036S3ST-D.PDF","ISL9V5036S3ST/D (424kB)")</f>
        <v>ISL9V5036S3ST/D (424kB)</v>
      </c>
      <c r="C175" t="s">
        <v>572</v>
      </c>
      <c r="D175" s="2" t="s">
        <v>74</v>
      </c>
      <c r="E175" t="s">
        <v>75</v>
      </c>
      <c r="F175" s="2" t="s">
        <v>43</v>
      </c>
      <c r="G175" s="2" t="s">
        <v>573</v>
      </c>
      <c r="H175" s="2" t="s">
        <v>69</v>
      </c>
      <c r="I175" s="2" t="s">
        <v>46</v>
      </c>
      <c r="J175" s="2" t="s">
        <v>46</v>
      </c>
      <c r="K175" s="2" t="s">
        <v>46</v>
      </c>
      <c r="L175" s="2" t="s">
        <v>566</v>
      </c>
      <c r="M175" s="2" t="s">
        <v>46</v>
      </c>
      <c r="N175" s="2" t="s">
        <v>315</v>
      </c>
      <c r="O175" s="2" t="s">
        <v>46</v>
      </c>
      <c r="P175" s="2" t="s">
        <v>46</v>
      </c>
      <c r="Q175" s="2" t="s">
        <v>123</v>
      </c>
      <c r="R175" s="2" t="s">
        <v>46</v>
      </c>
      <c r="S175" s="2" t="s">
        <v>82</v>
      </c>
    </row>
    <row r="176" spans="1:19" ht="38.25">
      <c r="A176" t="str">
        <f>HYPERLINK("https://www.onsemi.com/PowerSolutions/product.do?id=ISL9V5045S3ST","ISL9V5045S3ST")</f>
        <v>ISL9V5045S3ST</v>
      </c>
      <c r="B176" t="str">
        <f>HYPERLINK("https://www.onsemi.com/pub/Collateral/ISL9V5045S3ST-D.pdf","ISL9V5045S3ST/D (601kB)")</f>
        <v>ISL9V5045S3ST/D (601kB)</v>
      </c>
      <c r="C176" t="s">
        <v>574</v>
      </c>
      <c r="D176" s="2" t="s">
        <v>74</v>
      </c>
      <c r="E176" t="s">
        <v>75</v>
      </c>
      <c r="F176" s="2" t="s">
        <v>287</v>
      </c>
      <c r="G176" s="2" t="s">
        <v>152</v>
      </c>
      <c r="H176" s="2" t="s">
        <v>69</v>
      </c>
      <c r="I176" s="2" t="s">
        <v>46</v>
      </c>
      <c r="J176" s="2" t="s">
        <v>46</v>
      </c>
      <c r="K176" s="2" t="s">
        <v>46</v>
      </c>
      <c r="L176" s="2" t="s">
        <v>566</v>
      </c>
      <c r="M176" s="2" t="s">
        <v>46</v>
      </c>
      <c r="N176" s="2" t="s">
        <v>315</v>
      </c>
      <c r="O176" s="2" t="s">
        <v>46</v>
      </c>
      <c r="P176" s="2" t="s">
        <v>46</v>
      </c>
      <c r="Q176" s="2" t="s">
        <v>161</v>
      </c>
      <c r="R176" s="2" t="s">
        <v>46</v>
      </c>
      <c r="S176" s="2" t="s">
        <v>82</v>
      </c>
    </row>
    <row r="177" spans="1:19" ht="51">
      <c r="A177" t="str">
        <f>HYPERLINK("https://www.onsemi.com/PowerSolutions/product.do?id=ISL9V5045S_F085","ISL9V5045S_F085")</f>
        <v>ISL9V5045S_F085</v>
      </c>
      <c r="B177" t="str">
        <f>HYPERLINK("https://www.onsemi.com/pub/Collateral/ISL9V5045S-F085-D.pdf","ISL9V5045S_F085/D (352kB)")</f>
        <v>ISL9V5045S_F085/D (352kB)</v>
      </c>
      <c r="C177" t="s">
        <v>575</v>
      </c>
      <c r="D177" s="2" t="s">
        <v>42</v>
      </c>
      <c r="E177" t="s">
        <v>75</v>
      </c>
      <c r="F177" s="2" t="s">
        <v>287</v>
      </c>
      <c r="G177" t="s">
        <v>29</v>
      </c>
      <c r="H177" t="s">
        <v>29</v>
      </c>
      <c r="I177" s="2" t="s">
        <v>46</v>
      </c>
      <c r="J177" s="2" t="s">
        <v>46</v>
      </c>
      <c r="K177" s="2" t="s">
        <v>46</v>
      </c>
      <c r="L177" s="2" t="s">
        <v>566</v>
      </c>
      <c r="M177" s="2" t="s">
        <v>46</v>
      </c>
      <c r="N177" s="2" t="s">
        <v>315</v>
      </c>
      <c r="O177" s="2" t="s">
        <v>46</v>
      </c>
      <c r="P177" s="2" t="s">
        <v>46</v>
      </c>
      <c r="Q177" s="2" t="s">
        <v>161</v>
      </c>
      <c r="R177" s="2" t="s">
        <v>46</v>
      </c>
      <c r="S177" s="2" t="s">
        <v>82</v>
      </c>
    </row>
    <row r="178" spans="1:19" ht="25.5">
      <c r="A178" t="str">
        <f>HYPERLINK("https://www.onsemi.com/PowerSolutions/product.do?id=NGTB03N60R2DT4G","NGTB03N60R2DT4G")</f>
        <v>NGTB03N60R2DT4G</v>
      </c>
      <c r="B178" t="str">
        <f>HYPERLINK("https://www.onsemi.com/pub/Collateral/NGTB03N60R2DT4G-D.PDF","NGTB03N60R2DT4G/D (593kB)")</f>
        <v>NGTB03N60R2DT4G/D (593kB)</v>
      </c>
      <c r="C178" t="s">
        <v>576</v>
      </c>
      <c r="D178" s="2" t="s">
        <v>51</v>
      </c>
      <c r="E178" t="s">
        <v>75</v>
      </c>
      <c r="F178" s="2" t="s">
        <v>142</v>
      </c>
      <c r="G178" s="2" t="s">
        <v>577</v>
      </c>
      <c r="H178" s="2" t="s">
        <v>98</v>
      </c>
      <c r="I178" s="2" t="s">
        <v>76</v>
      </c>
      <c r="J178" s="2" t="s">
        <v>578</v>
      </c>
      <c r="K178" s="2" t="s">
        <v>506</v>
      </c>
      <c r="L178" s="2" t="s">
        <v>264</v>
      </c>
      <c r="M178" s="2" t="s">
        <v>46</v>
      </c>
      <c r="N178" s="2" t="s">
        <v>68</v>
      </c>
      <c r="O178" s="2" t="s">
        <v>296</v>
      </c>
      <c r="P178" s="2" t="s">
        <v>46</v>
      </c>
      <c r="Q178" s="2" t="s">
        <v>579</v>
      </c>
      <c r="R178" s="2" t="s">
        <v>63</v>
      </c>
      <c r="S178" s="2" t="s">
        <v>49</v>
      </c>
    </row>
    <row r="179" spans="1:19" ht="25.5">
      <c r="A179" t="str">
        <f>HYPERLINK("https://www.onsemi.com/PowerSolutions/product.do?id=NGTB05N60R2DT4G","NGTB05N60R2DT4G")</f>
        <v>NGTB05N60R2DT4G</v>
      </c>
      <c r="B179" t="str">
        <f>HYPERLINK("https://www.onsemi.com/pub/Collateral/NGTB05N60R2DT4G-D.PDF","NGTB05N60R2DT4G/D (615kB)")</f>
        <v>NGTB05N60R2DT4G/D (615kB)</v>
      </c>
      <c r="C179" t="s">
        <v>580</v>
      </c>
      <c r="D179" s="2" t="s">
        <v>51</v>
      </c>
      <c r="E179" t="s">
        <v>75</v>
      </c>
      <c r="F179" s="2" t="s">
        <v>142</v>
      </c>
      <c r="G179" s="2" t="s">
        <v>427</v>
      </c>
      <c r="H179" s="2" t="s">
        <v>45</v>
      </c>
      <c r="I179" s="2" t="s">
        <v>76</v>
      </c>
      <c r="J179" s="2" t="s">
        <v>559</v>
      </c>
      <c r="K179" s="2" t="s">
        <v>581</v>
      </c>
      <c r="L179" s="2" t="s">
        <v>306</v>
      </c>
      <c r="M179" s="2" t="s">
        <v>46</v>
      </c>
      <c r="N179" s="2" t="s">
        <v>35</v>
      </c>
      <c r="O179" s="2" t="s">
        <v>296</v>
      </c>
      <c r="P179" s="2" t="s">
        <v>46</v>
      </c>
      <c r="Q179" s="2" t="s">
        <v>80</v>
      </c>
      <c r="R179" s="2" t="s">
        <v>63</v>
      </c>
      <c r="S179" s="2" t="s">
        <v>49</v>
      </c>
    </row>
    <row r="180" spans="1:19" ht="25.5">
      <c r="A180" t="str">
        <f>HYPERLINK("https://www.onsemi.com/PowerSolutions/product.do?id=NGTB10N60FG","NGTB10N60FG")</f>
        <v>NGTB10N60FG</v>
      </c>
      <c r="B180" t="str">
        <f>HYPERLINK("https://www.onsemi.com/pub/Collateral/NGTB10N60FG-D.PDF","NGTB10N60FG/D (402kB)")</f>
        <v>NGTB10N60FG/D (402kB)</v>
      </c>
      <c r="C180" t="s">
        <v>582</v>
      </c>
      <c r="D180" s="2" t="s">
        <v>51</v>
      </c>
      <c r="E180" t="s">
        <v>75</v>
      </c>
      <c r="F180" s="2" t="s">
        <v>142</v>
      </c>
      <c r="G180" s="2" t="s">
        <v>333</v>
      </c>
      <c r="H180" s="2" t="s">
        <v>76</v>
      </c>
      <c r="I180" s="2" t="s">
        <v>25</v>
      </c>
      <c r="J180" s="2" t="s">
        <v>46</v>
      </c>
      <c r="K180" s="2" t="s">
        <v>46</v>
      </c>
      <c r="L180" s="2" t="s">
        <v>306</v>
      </c>
      <c r="M180" s="2" t="s">
        <v>46</v>
      </c>
      <c r="N180" s="2" t="s">
        <v>442</v>
      </c>
      <c r="O180" s="2" t="s">
        <v>296</v>
      </c>
      <c r="P180" s="2" t="s">
        <v>46</v>
      </c>
      <c r="Q180" s="2" t="s">
        <v>84</v>
      </c>
      <c r="R180" s="2" t="s">
        <v>63</v>
      </c>
      <c r="S180" s="2" t="s">
        <v>522</v>
      </c>
    </row>
    <row r="181" spans="1:19" ht="25.5">
      <c r="A181" t="str">
        <f>HYPERLINK("https://www.onsemi.com/PowerSolutions/product.do?id=NGTB10N60R2DT4G","NGTB10N60R2DT4G")</f>
        <v>NGTB10N60R2DT4G</v>
      </c>
      <c r="B181" t="str">
        <f>HYPERLINK("https://www.onsemi.com/pub/Collateral/NGTB10N60R2DT4G-D.PDF","NGTB10N60R2DT4G/D (619kB)")</f>
        <v>NGTB10N60R2DT4G/D (619kB)</v>
      </c>
      <c r="C181" t="s">
        <v>583</v>
      </c>
      <c r="D181" s="2" t="s">
        <v>51</v>
      </c>
      <c r="E181" t="s">
        <v>75</v>
      </c>
      <c r="F181" s="2" t="s">
        <v>142</v>
      </c>
      <c r="G181" s="2" t="s">
        <v>333</v>
      </c>
      <c r="H181" s="2" t="s">
        <v>98</v>
      </c>
      <c r="I181" s="2" t="s">
        <v>76</v>
      </c>
      <c r="J181" s="2" t="s">
        <v>584</v>
      </c>
      <c r="K181" s="2" t="s">
        <v>585</v>
      </c>
      <c r="L181" s="2" t="s">
        <v>586</v>
      </c>
      <c r="M181" s="2" t="s">
        <v>46</v>
      </c>
      <c r="N181" s="2" t="s">
        <v>587</v>
      </c>
      <c r="O181" s="2" t="s">
        <v>296</v>
      </c>
      <c r="P181" s="2" t="s">
        <v>46</v>
      </c>
      <c r="Q181" s="2" t="s">
        <v>445</v>
      </c>
      <c r="R181" s="2" t="s">
        <v>63</v>
      </c>
      <c r="S181" s="2" t="s">
        <v>49</v>
      </c>
    </row>
    <row r="182" spans="1:19" ht="25.5">
      <c r="A182" t="str">
        <f>HYPERLINK("https://www.onsemi.com/PowerSolutions/product.do?id=NGTB15N120FL2","NGTB15N120FL2")</f>
        <v>NGTB15N120FL2</v>
      </c>
      <c r="B182" t="str">
        <f>HYPERLINK("https://www.onsemi.com/pub/Collateral/NGTB15N120FL2W-D.PDF","NGTB15N120FL2W/D (267kB)")</f>
        <v>NGTB15N120FL2W/D (267kB)</v>
      </c>
      <c r="C182" t="s">
        <v>588</v>
      </c>
      <c r="D182" s="2" t="s">
        <v>51</v>
      </c>
      <c r="E182" t="s">
        <v>75</v>
      </c>
      <c r="F182" s="2" t="s">
        <v>97</v>
      </c>
      <c r="G182" s="2" t="s">
        <v>106</v>
      </c>
      <c r="H182" s="2" t="s">
        <v>108</v>
      </c>
      <c r="I182" s="2" t="s">
        <v>108</v>
      </c>
      <c r="J182" s="2" t="s">
        <v>263</v>
      </c>
      <c r="K182" s="2" t="s">
        <v>207</v>
      </c>
      <c r="L182" s="2" t="s">
        <v>251</v>
      </c>
      <c r="M182" s="2" t="s">
        <v>589</v>
      </c>
      <c r="N182" s="2" t="s">
        <v>590</v>
      </c>
      <c r="O182" s="2" t="s">
        <v>333</v>
      </c>
      <c r="P182" s="2" t="s">
        <v>46</v>
      </c>
      <c r="Q182" s="2" t="s">
        <v>591</v>
      </c>
      <c r="R182" s="2" t="s">
        <v>63</v>
      </c>
      <c r="S182" s="2" t="s">
        <v>343</v>
      </c>
    </row>
    <row r="183" spans="1:19" ht="25.5">
      <c r="A183" t="str">
        <f>HYPERLINK("https://www.onsemi.com/PowerSolutions/product.do?id=NGTB15N120IHR","NGTB15N120IHR")</f>
        <v>NGTB15N120IHR</v>
      </c>
      <c r="B183" t="str">
        <f>HYPERLINK("https://www.onsemi.com/pub/Collateral/NGTB15N120IHR-D.PDF","NGTB15N120IHR/D (170.0kB)")</f>
        <v>NGTB15N120IHR/D (170.0kB)</v>
      </c>
      <c r="C183" t="s">
        <v>592</v>
      </c>
      <c r="D183" s="2" t="s">
        <v>51</v>
      </c>
      <c r="E183" t="s">
        <v>75</v>
      </c>
      <c r="F183" s="2" t="s">
        <v>97</v>
      </c>
      <c r="G183" s="2" t="s">
        <v>106</v>
      </c>
      <c r="H183" s="2" t="s">
        <v>137</v>
      </c>
      <c r="I183" s="2" t="s">
        <v>121</v>
      </c>
      <c r="J183" s="2" t="s">
        <v>179</v>
      </c>
      <c r="K183" s="2" t="s">
        <v>46</v>
      </c>
      <c r="L183" s="2" t="s">
        <v>46</v>
      </c>
      <c r="M183" s="2" t="s">
        <v>46</v>
      </c>
      <c r="N183" s="2" t="s">
        <v>593</v>
      </c>
      <c r="O183" s="2" t="s">
        <v>46</v>
      </c>
      <c r="P183" s="2" t="s">
        <v>46</v>
      </c>
      <c r="Q183" s="2" t="s">
        <v>350</v>
      </c>
      <c r="R183" s="2" t="s">
        <v>63</v>
      </c>
      <c r="S183" s="2" t="s">
        <v>343</v>
      </c>
    </row>
    <row r="184" spans="1:19" ht="25.5">
      <c r="A184" t="str">
        <f>HYPERLINK("https://www.onsemi.com/PowerSolutions/product.do?id=NGTB15N135IHR","NGTB15N135IHR")</f>
        <v>NGTB15N135IHR</v>
      </c>
      <c r="B184" t="str">
        <f>HYPERLINK("https://www.onsemi.com/pub/Collateral/NGTB15N135IHR-D.PDF","NGTB15N135IHR/D (189.0kB)")</f>
        <v>NGTB15N135IHR/D (189.0kB)</v>
      </c>
      <c r="C184" t="s">
        <v>594</v>
      </c>
      <c r="D184" s="2" t="s">
        <v>51</v>
      </c>
      <c r="E184" t="s">
        <v>75</v>
      </c>
      <c r="F184" s="2" t="s">
        <v>595</v>
      </c>
      <c r="G184" s="2" t="s">
        <v>106</v>
      </c>
      <c r="H184" s="2" t="s">
        <v>596</v>
      </c>
      <c r="I184" s="2" t="s">
        <v>272</v>
      </c>
      <c r="J184" s="2" t="s">
        <v>115</v>
      </c>
      <c r="K184" s="2" t="s">
        <v>46</v>
      </c>
      <c r="L184" s="2" t="s">
        <v>46</v>
      </c>
      <c r="M184" s="2" t="s">
        <v>46</v>
      </c>
      <c r="N184" s="2" t="s">
        <v>209</v>
      </c>
      <c r="O184" s="2" t="s">
        <v>46</v>
      </c>
      <c r="P184" s="2" t="s">
        <v>46</v>
      </c>
      <c r="Q184" s="2" t="s">
        <v>597</v>
      </c>
      <c r="R184" s="2" t="s">
        <v>63</v>
      </c>
      <c r="S184" s="2" t="s">
        <v>343</v>
      </c>
    </row>
    <row r="185" spans="1:19" ht="25.5">
      <c r="A185" t="str">
        <f>HYPERLINK("https://www.onsemi.com/PowerSolutions/product.do?id=NGTB15N60R2FG","NGTB15N60R2FG")</f>
        <v>NGTB15N60R2FG</v>
      </c>
      <c r="B185" t="str">
        <f>HYPERLINK("https://www.onsemi.com/pub/Collateral/NGTB15N60R2FG-D.PDF","NGTB15N60R2FG/D (817kB)")</f>
        <v>NGTB15N60R2FG/D (817kB)</v>
      </c>
      <c r="C185" t="s">
        <v>598</v>
      </c>
      <c r="D185" s="2" t="s">
        <v>51</v>
      </c>
      <c r="E185" t="s">
        <v>75</v>
      </c>
      <c r="F185" s="2" t="s">
        <v>142</v>
      </c>
      <c r="G185" s="2" t="s">
        <v>495</v>
      </c>
      <c r="H185" s="2" t="s">
        <v>272</v>
      </c>
      <c r="I185" s="2" t="s">
        <v>98</v>
      </c>
      <c r="J185" s="2" t="s">
        <v>599</v>
      </c>
      <c r="K185" s="2" t="s">
        <v>600</v>
      </c>
      <c r="L185" s="2" t="s">
        <v>601</v>
      </c>
      <c r="M185" s="2" t="s">
        <v>46</v>
      </c>
      <c r="N185" s="2" t="s">
        <v>380</v>
      </c>
      <c r="O185" s="2" t="s">
        <v>333</v>
      </c>
      <c r="P185" s="2" t="s">
        <v>46</v>
      </c>
      <c r="Q185" s="2" t="s">
        <v>602</v>
      </c>
      <c r="R185" s="2" t="s">
        <v>63</v>
      </c>
      <c r="S185" s="2" t="s">
        <v>522</v>
      </c>
    </row>
    <row r="186" spans="1:19">
      <c r="A186" t="str">
        <f>HYPERLINK("https://www.onsemi.com/PowerSolutions/product.do?id=NGTB15N60S1","NGTB15N60S1")</f>
        <v>NGTB15N60S1</v>
      </c>
      <c r="B186" t="str">
        <f>HYPERLINK("https://www.onsemi.com/pub/Collateral/NGTB15N60S1E-D.PDF","NGTB15N60S1E/D (132kB)")</f>
        <v>NGTB15N60S1E/D (132kB)</v>
      </c>
      <c r="C186" t="s">
        <v>603</v>
      </c>
      <c r="D186" s="2" t="s">
        <v>20</v>
      </c>
      <c r="E186" t="s">
        <v>75</v>
      </c>
      <c r="F186" s="2" t="s">
        <v>142</v>
      </c>
      <c r="G186" s="2" t="s">
        <v>106</v>
      </c>
      <c r="H186" s="2" t="s">
        <v>76</v>
      </c>
      <c r="I186" s="2" t="s">
        <v>45</v>
      </c>
      <c r="J186" s="2" t="s">
        <v>605</v>
      </c>
      <c r="K186" s="2" t="s">
        <v>600</v>
      </c>
      <c r="L186" s="2" t="s">
        <v>606</v>
      </c>
      <c r="M186" s="2" t="s">
        <v>296</v>
      </c>
      <c r="N186" s="2" t="s">
        <v>607</v>
      </c>
      <c r="O186" s="2" t="s">
        <v>296</v>
      </c>
      <c r="P186" s="2" t="s">
        <v>46</v>
      </c>
      <c r="Q186" s="2" t="s">
        <v>608</v>
      </c>
      <c r="R186" s="2" t="s">
        <v>63</v>
      </c>
      <c r="S186" s="2" t="s">
        <v>511</v>
      </c>
    </row>
    <row r="187" spans="1:19" ht="25.5">
      <c r="A187" t="str">
        <f>HYPERLINK("https://www.onsemi.com/PowerSolutions/product.do?id=NGTB20N120IHR","NGTB20N120IHR")</f>
        <v>NGTB20N120IHR</v>
      </c>
      <c r="B187" t="str">
        <f>HYPERLINK("https://www.onsemi.com/pub/Collateral/NGTB20N120IHR-D.PDF","NGTB20N120IHR/D (176kB)")</f>
        <v>NGTB20N120IHR/D (176kB)</v>
      </c>
      <c r="C187" t="s">
        <v>609</v>
      </c>
      <c r="D187" s="2" t="s">
        <v>51</v>
      </c>
      <c r="E187" t="s">
        <v>75</v>
      </c>
      <c r="F187" s="2" t="s">
        <v>97</v>
      </c>
      <c r="G187" s="2" t="s">
        <v>23</v>
      </c>
      <c r="H187" s="2" t="s">
        <v>137</v>
      </c>
      <c r="I187" s="2" t="s">
        <v>121</v>
      </c>
      <c r="J187" s="2" t="s">
        <v>237</v>
      </c>
      <c r="K187" s="2" t="s">
        <v>46</v>
      </c>
      <c r="L187" s="2" t="s">
        <v>46</v>
      </c>
      <c r="M187" s="2" t="s">
        <v>46</v>
      </c>
      <c r="N187" s="2" t="s">
        <v>369</v>
      </c>
      <c r="O187" s="2" t="s">
        <v>46</v>
      </c>
      <c r="P187" s="2" t="s">
        <v>46</v>
      </c>
      <c r="Q187" s="2" t="s">
        <v>610</v>
      </c>
      <c r="R187" s="2" t="s">
        <v>63</v>
      </c>
      <c r="S187" s="2" t="s">
        <v>343</v>
      </c>
    </row>
    <row r="188" spans="1:19" ht="25.5">
      <c r="A188" t="str">
        <f>HYPERLINK("https://www.onsemi.com/PowerSolutions/product.do?id=NGTB20N135IHR","NGTB20N135IHR")</f>
        <v>NGTB20N135IHR</v>
      </c>
      <c r="B188" t="str">
        <f>HYPERLINK("https://www.onsemi.com/pub/Collateral/NGTB20N135IHR-D.PDF","NGTB20N135IHR/D (135kB)")</f>
        <v>NGTB20N135IHR/D (135kB)</v>
      </c>
      <c r="C188" t="s">
        <v>611</v>
      </c>
      <c r="D188" s="2" t="s">
        <v>51</v>
      </c>
      <c r="E188" t="s">
        <v>75</v>
      </c>
      <c r="F188" s="2" t="s">
        <v>595</v>
      </c>
      <c r="G188" s="2" t="s">
        <v>23</v>
      </c>
      <c r="H188" s="2" t="s">
        <v>168</v>
      </c>
      <c r="I188" s="2" t="s">
        <v>143</v>
      </c>
      <c r="J188" s="2" t="s">
        <v>66</v>
      </c>
      <c r="K188" s="2" t="s">
        <v>46</v>
      </c>
      <c r="L188" s="2" t="s">
        <v>46</v>
      </c>
      <c r="M188" s="2" t="s">
        <v>46</v>
      </c>
      <c r="N188" s="2" t="s">
        <v>328</v>
      </c>
      <c r="O188" s="2" t="s">
        <v>46</v>
      </c>
      <c r="P188" s="2" t="s">
        <v>46</v>
      </c>
      <c r="Q188" s="2" t="s">
        <v>612</v>
      </c>
      <c r="R188" s="2" t="s">
        <v>63</v>
      </c>
      <c r="S188" s="2" t="s">
        <v>343</v>
      </c>
    </row>
    <row r="189" spans="1:19" ht="25.5">
      <c r="A189" t="str">
        <f>HYPERLINK("https://www.onsemi.com/PowerSolutions/product.do?id=NGTB20N60L2TF1G","NGTB20N60L2TF1G")</f>
        <v>NGTB20N60L2TF1G</v>
      </c>
      <c r="B189" t="str">
        <f>HYPERLINK("https://www.onsemi.com/pub/Collateral/NGTB20N60L2TF1G-D.PDF","NGTB20N60L2TF1G/D (441kB)")</f>
        <v>NGTB20N60L2TF1G/D (441kB)</v>
      </c>
      <c r="C189" t="s">
        <v>613</v>
      </c>
      <c r="D189" s="2" t="s">
        <v>51</v>
      </c>
      <c r="E189" t="s">
        <v>75</v>
      </c>
      <c r="F189" s="2" t="s">
        <v>142</v>
      </c>
      <c r="G189" s="2" t="s">
        <v>23</v>
      </c>
      <c r="H189" s="2" t="s">
        <v>184</v>
      </c>
      <c r="I189" s="2" t="s">
        <v>76</v>
      </c>
      <c r="J189" s="2" t="s">
        <v>46</v>
      </c>
      <c r="K189" s="2" t="s">
        <v>46</v>
      </c>
      <c r="L189" s="2" t="s">
        <v>306</v>
      </c>
      <c r="M189" s="2" t="s">
        <v>46</v>
      </c>
      <c r="N189" s="2" t="s">
        <v>230</v>
      </c>
      <c r="O189" s="2" t="s">
        <v>46</v>
      </c>
      <c r="P189" s="2" t="s">
        <v>46</v>
      </c>
      <c r="Q189" s="2" t="s">
        <v>248</v>
      </c>
      <c r="R189" s="2" t="s">
        <v>63</v>
      </c>
      <c r="S189" s="2" t="s">
        <v>33</v>
      </c>
    </row>
    <row r="190" spans="1:19" ht="25.5">
      <c r="A190" t="str">
        <f>HYPERLINK("https://www.onsemi.com/PowerSolutions/product.do?id=NGTB25N120FL2","NGTB25N120FL2")</f>
        <v>NGTB25N120FL2</v>
      </c>
      <c r="B190" t="str">
        <f>HYPERLINK("https://www.onsemi.com/pub/Collateral/NGTB25N120FL2W-D.PDF","NGTB25N120FL2W/D (144kB)")</f>
        <v>NGTB25N120FL2W/D (144kB)</v>
      </c>
      <c r="C190" t="s">
        <v>614</v>
      </c>
      <c r="D190" s="2" t="s">
        <v>51</v>
      </c>
      <c r="E190" t="s">
        <v>75</v>
      </c>
      <c r="F190" s="2" t="s">
        <v>97</v>
      </c>
      <c r="G190" s="2" t="s">
        <v>359</v>
      </c>
      <c r="H190" s="2" t="s">
        <v>108</v>
      </c>
      <c r="I190" s="2" t="s">
        <v>137</v>
      </c>
      <c r="J190" s="2" t="s">
        <v>66</v>
      </c>
      <c r="K190" s="2" t="s">
        <v>391</v>
      </c>
      <c r="L190" s="2" t="s">
        <v>615</v>
      </c>
      <c r="M190" s="2" t="s">
        <v>106</v>
      </c>
      <c r="N190" s="2" t="s">
        <v>515</v>
      </c>
      <c r="O190" s="2" t="s">
        <v>333</v>
      </c>
      <c r="P190" s="2" t="s">
        <v>46</v>
      </c>
      <c r="Q190" s="2" t="s">
        <v>616</v>
      </c>
      <c r="R190" s="2" t="s">
        <v>63</v>
      </c>
      <c r="S190" s="2" t="s">
        <v>343</v>
      </c>
    </row>
    <row r="191" spans="1:19" ht="25.5">
      <c r="A191" t="str">
        <f>HYPERLINK("https://www.onsemi.com/PowerSolutions/product.do?id=NGTB25N120FL3","NGTB25N120FL3")</f>
        <v>NGTB25N120FL3</v>
      </c>
      <c r="B191" t="str">
        <f>HYPERLINK("https://www.onsemi.com/pub/Collateral/NGTB25N120FL3W-D.PDF","NGTB25N120FL3W/D (154kB)")</f>
        <v>NGTB25N120FL3W/D (154kB)</v>
      </c>
      <c r="C191" t="s">
        <v>617</v>
      </c>
      <c r="D191" s="2" t="s">
        <v>51</v>
      </c>
      <c r="E191" t="s">
        <v>75</v>
      </c>
      <c r="F191" s="2" t="s">
        <v>97</v>
      </c>
      <c r="G191" s="2" t="s">
        <v>359</v>
      </c>
      <c r="H191" s="2" t="s">
        <v>98</v>
      </c>
      <c r="I191" s="2" t="s">
        <v>99</v>
      </c>
      <c r="J191" s="2" t="s">
        <v>604</v>
      </c>
      <c r="K191" s="2" t="s">
        <v>327</v>
      </c>
      <c r="L191" s="2" t="s">
        <v>586</v>
      </c>
      <c r="M191" s="2" t="s">
        <v>348</v>
      </c>
      <c r="N191" s="2" t="s">
        <v>112</v>
      </c>
      <c r="O191" s="2" t="s">
        <v>46</v>
      </c>
      <c r="P191" s="2" t="s">
        <v>46</v>
      </c>
      <c r="Q191" s="2" t="s">
        <v>182</v>
      </c>
      <c r="R191" s="2" t="s">
        <v>63</v>
      </c>
      <c r="S191" s="2" t="s">
        <v>343</v>
      </c>
    </row>
    <row r="192" spans="1:19" ht="25.5">
      <c r="A192" t="str">
        <f>HYPERLINK("https://www.onsemi.com/PowerSolutions/product.do?id=NGTB30N120FL2","NGTB30N120FL2")</f>
        <v>NGTB30N120FL2</v>
      </c>
      <c r="B192" t="str">
        <f>HYPERLINK("https://www.onsemi.com/pub/Collateral/NGTB30N120FL2W-D.PDF","NGTB30N120FL2W/D (106kB)")</f>
        <v>NGTB30N120FL2W/D (106kB)</v>
      </c>
      <c r="C192" t="s">
        <v>618</v>
      </c>
      <c r="D192" s="2" t="s">
        <v>51</v>
      </c>
      <c r="E192" t="s">
        <v>75</v>
      </c>
      <c r="F192" s="2" t="s">
        <v>97</v>
      </c>
      <c r="G192" s="2" t="s">
        <v>35</v>
      </c>
      <c r="H192" s="2" t="s">
        <v>108</v>
      </c>
      <c r="I192" s="2" t="s">
        <v>121</v>
      </c>
      <c r="J192" s="2" t="s">
        <v>604</v>
      </c>
      <c r="K192" s="2" t="s">
        <v>377</v>
      </c>
      <c r="L192" s="2" t="s">
        <v>532</v>
      </c>
      <c r="M192" s="2" t="s">
        <v>44</v>
      </c>
      <c r="N192" s="2" t="s">
        <v>81</v>
      </c>
      <c r="O192" s="2" t="s">
        <v>333</v>
      </c>
      <c r="P192" s="2" t="s">
        <v>46</v>
      </c>
      <c r="Q192" s="2" t="s">
        <v>460</v>
      </c>
      <c r="R192" s="2" t="s">
        <v>63</v>
      </c>
      <c r="S192" s="2" t="s">
        <v>343</v>
      </c>
    </row>
    <row r="193" spans="1:19" ht="25.5">
      <c r="A193" t="str">
        <f>HYPERLINK("https://www.onsemi.com/PowerSolutions/product.do?id=NGTB30N135IHR","NGTB30N135IHR")</f>
        <v>NGTB30N135IHR</v>
      </c>
      <c r="B193" t="str">
        <f>HYPERLINK("https://www.onsemi.com/pub/Collateral/NGTB30N135IHR-D.PDF","NGTB30N135IHR/D (177.0kB)")</f>
        <v>NGTB30N135IHR/D (177.0kB)</v>
      </c>
      <c r="C193" t="s">
        <v>619</v>
      </c>
      <c r="D193" s="2" t="s">
        <v>51</v>
      </c>
      <c r="E193" t="s">
        <v>75</v>
      </c>
      <c r="F193" s="2" t="s">
        <v>595</v>
      </c>
      <c r="G193" s="2" t="s">
        <v>35</v>
      </c>
      <c r="H193" s="2" t="s">
        <v>221</v>
      </c>
      <c r="I193" s="2" t="s">
        <v>137</v>
      </c>
      <c r="J193" s="2" t="s">
        <v>620</v>
      </c>
      <c r="K193" s="2" t="s">
        <v>46</v>
      </c>
      <c r="L193" s="2" t="s">
        <v>46</v>
      </c>
      <c r="M193" s="2" t="s">
        <v>46</v>
      </c>
      <c r="N193" s="2" t="s">
        <v>328</v>
      </c>
      <c r="O193" s="2" t="s">
        <v>46</v>
      </c>
      <c r="P193" s="2" t="s">
        <v>46</v>
      </c>
      <c r="Q193" s="2" t="s">
        <v>612</v>
      </c>
      <c r="R193" s="2" t="s">
        <v>63</v>
      </c>
      <c r="S193" s="2" t="s">
        <v>343</v>
      </c>
    </row>
    <row r="194" spans="1:19" ht="25.5">
      <c r="A194" t="str">
        <f>HYPERLINK("https://www.onsemi.com/PowerSolutions/product.do?id=NGTB30N135IHR1","NGTB30N135IHR1")</f>
        <v>NGTB30N135IHR1</v>
      </c>
      <c r="B194" t="str">
        <f>HYPERLINK("https://www.onsemi.com/pub/Collateral/NGTB30N135IHR1-D.PDF","NGTB30N135IHR1/D (131kB)")</f>
        <v>NGTB30N135IHR1/D (131kB)</v>
      </c>
      <c r="C194" t="s">
        <v>621</v>
      </c>
      <c r="D194" s="2" t="s">
        <v>51</v>
      </c>
      <c r="E194" t="s">
        <v>75</v>
      </c>
      <c r="F194" s="2" t="s">
        <v>595</v>
      </c>
      <c r="G194" s="2" t="s">
        <v>35</v>
      </c>
      <c r="H194" s="2" t="s">
        <v>463</v>
      </c>
      <c r="I194" s="2" t="s">
        <v>98</v>
      </c>
      <c r="J194" s="2" t="s">
        <v>451</v>
      </c>
      <c r="K194" s="2" t="s">
        <v>46</v>
      </c>
      <c r="L194" s="2" t="s">
        <v>46</v>
      </c>
      <c r="M194" s="2" t="s">
        <v>46</v>
      </c>
      <c r="N194" s="2" t="s">
        <v>81</v>
      </c>
      <c r="O194" s="2" t="s">
        <v>46</v>
      </c>
      <c r="P194" s="2" t="s">
        <v>46</v>
      </c>
      <c r="Q194" s="2" t="s">
        <v>612</v>
      </c>
      <c r="R194" s="2" t="s">
        <v>32</v>
      </c>
      <c r="S194" s="2" t="s">
        <v>343</v>
      </c>
    </row>
    <row r="195" spans="1:19" ht="25.5">
      <c r="A195" t="str">
        <f>HYPERLINK("https://www.onsemi.com/PowerSolutions/product.do?id=NGTB30N60L2WG","NGTB30N60L2WG")</f>
        <v>NGTB30N60L2WG</v>
      </c>
      <c r="B195" t="str">
        <f>HYPERLINK("https://www.onsemi.com/pub/Collateral/NGTB30N60L2WG-D.PDF","NGTB30N60L2WG/D (814kB)")</f>
        <v>NGTB30N60L2WG/D (814kB)</v>
      </c>
      <c r="C195" t="s">
        <v>622</v>
      </c>
      <c r="D195" s="2" t="s">
        <v>51</v>
      </c>
      <c r="E195" t="s">
        <v>75</v>
      </c>
      <c r="F195" s="2" t="s">
        <v>142</v>
      </c>
      <c r="G195" s="2" t="s">
        <v>35</v>
      </c>
      <c r="H195" s="2" t="s">
        <v>24</v>
      </c>
      <c r="I195" s="2" t="s">
        <v>98</v>
      </c>
      <c r="J195" s="2" t="s">
        <v>195</v>
      </c>
      <c r="K195" s="2" t="s">
        <v>623</v>
      </c>
      <c r="L195" s="2" t="s">
        <v>306</v>
      </c>
      <c r="M195" s="2" t="s">
        <v>46</v>
      </c>
      <c r="N195" s="2" t="s">
        <v>291</v>
      </c>
      <c r="O195" s="2" t="s">
        <v>296</v>
      </c>
      <c r="P195" s="2" t="s">
        <v>46</v>
      </c>
      <c r="Q195" s="2" t="s">
        <v>369</v>
      </c>
      <c r="R195" s="2" t="s">
        <v>63</v>
      </c>
      <c r="S195" s="2" t="s">
        <v>624</v>
      </c>
    </row>
    <row r="196" spans="1:19" ht="25.5">
      <c r="A196" t="str">
        <f>HYPERLINK("https://www.onsemi.com/PowerSolutions/product.do?id=NGTB30N65IHL2","NGTB30N65IHL2")</f>
        <v>NGTB30N65IHL2</v>
      </c>
      <c r="B196" t="str">
        <f>HYPERLINK("https://www.onsemi.com/pub/Collateral/NGTB30N65IHL2W-D.PDF","NGTB30N65IHL2W/D (91kB)")</f>
        <v>NGTB30N65IHL2W/D (91kB)</v>
      </c>
      <c r="C196" t="s">
        <v>625</v>
      </c>
      <c r="D196" s="2" t="s">
        <v>51</v>
      </c>
      <c r="E196" t="s">
        <v>75</v>
      </c>
      <c r="F196" s="2" t="s">
        <v>22</v>
      </c>
      <c r="G196" s="2" t="s">
        <v>35</v>
      </c>
      <c r="H196" s="2" t="s">
        <v>98</v>
      </c>
      <c r="I196" s="2" t="s">
        <v>316</v>
      </c>
      <c r="J196" s="2" t="s">
        <v>27</v>
      </c>
      <c r="K196" s="2" t="s">
        <v>46</v>
      </c>
      <c r="L196" s="2" t="s">
        <v>270</v>
      </c>
      <c r="M196" s="2" t="s">
        <v>159</v>
      </c>
      <c r="N196" s="2" t="s">
        <v>626</v>
      </c>
      <c r="O196" s="2" t="s">
        <v>46</v>
      </c>
      <c r="P196" s="2" t="s">
        <v>46</v>
      </c>
      <c r="Q196" s="2" t="s">
        <v>627</v>
      </c>
      <c r="R196" s="2" t="s">
        <v>63</v>
      </c>
      <c r="S196" s="2" t="s">
        <v>343</v>
      </c>
    </row>
    <row r="197" spans="1:19" ht="25.5">
      <c r="A197" t="str">
        <f>HYPERLINK("https://www.onsemi.com/PowerSolutions/product.do?id=NGTB35N60FL2","NGTB35N60FL2")</f>
        <v>NGTB35N60FL2</v>
      </c>
      <c r="B197" t="str">
        <f>HYPERLINK("https://www.onsemi.com/pub/Collateral/NGTB35N60FL2W-D.PDF","NGTB35N60FL2W/D (93kB)")</f>
        <v>NGTB35N60FL2W/D (93kB)</v>
      </c>
      <c r="C197" t="s">
        <v>628</v>
      </c>
      <c r="D197" s="2" t="s">
        <v>51</v>
      </c>
      <c r="E197" t="s">
        <v>75</v>
      </c>
      <c r="F197" s="2" t="s">
        <v>142</v>
      </c>
      <c r="G197" s="2" t="s">
        <v>159</v>
      </c>
      <c r="H197" s="2" t="s">
        <v>98</v>
      </c>
      <c r="I197" s="2" t="s">
        <v>168</v>
      </c>
      <c r="J197" s="2" t="s">
        <v>293</v>
      </c>
      <c r="K197" s="2" t="s">
        <v>629</v>
      </c>
      <c r="L197" s="2" t="s">
        <v>193</v>
      </c>
      <c r="M197" s="2" t="s">
        <v>303</v>
      </c>
      <c r="N197" s="2" t="s">
        <v>482</v>
      </c>
      <c r="O197" s="2" t="s">
        <v>296</v>
      </c>
      <c r="P197" s="2" t="s">
        <v>46</v>
      </c>
      <c r="Q197" s="2" t="s">
        <v>161</v>
      </c>
      <c r="R197" s="2" t="s">
        <v>63</v>
      </c>
      <c r="S197" s="2" t="s">
        <v>343</v>
      </c>
    </row>
    <row r="198" spans="1:19" ht="25.5">
      <c r="A198" t="str">
        <f>HYPERLINK("https://www.onsemi.com/PowerSolutions/product.do?id=NGTB35N65FL2","NGTB35N65FL2")</f>
        <v>NGTB35N65FL2</v>
      </c>
      <c r="B198" t="str">
        <f>HYPERLINK("https://www.onsemi.com/pub/Collateral/NGTB35N65FL2W-D.PDF","NGTB35N65FL2W/D (93kB)")</f>
        <v>NGTB35N65FL2W/D (93kB)</v>
      </c>
      <c r="C198" t="s">
        <v>630</v>
      </c>
      <c r="D198" s="2" t="s">
        <v>51</v>
      </c>
      <c r="E198" t="s">
        <v>75</v>
      </c>
      <c r="F198" s="2" t="s">
        <v>22</v>
      </c>
      <c r="G198" s="2" t="s">
        <v>159</v>
      </c>
      <c r="H198" s="2" t="s">
        <v>98</v>
      </c>
      <c r="I198" s="2" t="s">
        <v>168</v>
      </c>
      <c r="J198" s="2" t="s">
        <v>293</v>
      </c>
      <c r="K198" s="2" t="s">
        <v>629</v>
      </c>
      <c r="L198" s="2" t="s">
        <v>193</v>
      </c>
      <c r="M198" s="2" t="s">
        <v>303</v>
      </c>
      <c r="N198" s="2" t="s">
        <v>482</v>
      </c>
      <c r="O198" s="2" t="s">
        <v>296</v>
      </c>
      <c r="P198" s="2" t="s">
        <v>46</v>
      </c>
      <c r="Q198" s="2" t="s">
        <v>161</v>
      </c>
      <c r="R198" s="2" t="s">
        <v>63</v>
      </c>
      <c r="S198" s="2" t="s">
        <v>343</v>
      </c>
    </row>
    <row r="199" spans="1:19" ht="25.5">
      <c r="A199" t="str">
        <f>HYPERLINK("https://www.onsemi.com/PowerSolutions/product.do?id=NGTB40N120FL2","NGTB40N120FL2")</f>
        <v>NGTB40N120FL2</v>
      </c>
      <c r="B199" t="str">
        <f>HYPERLINK("https://www.onsemi.com/pub/Collateral/NGTB40N120FL2W-D.PDF","NGTB40N120FL2W/D (145kB)")</f>
        <v>NGTB40N120FL2W/D (145kB)</v>
      </c>
      <c r="C199" t="s">
        <v>631</v>
      </c>
      <c r="D199" s="2" t="s">
        <v>51</v>
      </c>
      <c r="E199" t="s">
        <v>75</v>
      </c>
      <c r="F199" s="2" t="s">
        <v>97</v>
      </c>
      <c r="G199" s="2" t="s">
        <v>84</v>
      </c>
      <c r="H199" s="2" t="s">
        <v>108</v>
      </c>
      <c r="I199" s="2" t="s">
        <v>108</v>
      </c>
      <c r="J199" s="2" t="s">
        <v>316</v>
      </c>
      <c r="K199" s="2" t="s">
        <v>398</v>
      </c>
      <c r="L199" s="2" t="s">
        <v>532</v>
      </c>
      <c r="M199" s="2" t="s">
        <v>44</v>
      </c>
      <c r="N199" s="2" t="s">
        <v>364</v>
      </c>
      <c r="O199" s="2" t="s">
        <v>333</v>
      </c>
      <c r="P199" s="2" t="s">
        <v>46</v>
      </c>
      <c r="Q199" s="2" t="s">
        <v>632</v>
      </c>
      <c r="R199" s="2" t="s">
        <v>63</v>
      </c>
      <c r="S199" s="2" t="s">
        <v>343</v>
      </c>
    </row>
    <row r="200" spans="1:19" ht="25.5">
      <c r="A200" t="str">
        <f>HYPERLINK("https://www.onsemi.com/PowerSolutions/product.do?id=NGTB40N120FL2WA","NGTB40N120FL2WA")</f>
        <v>NGTB40N120FL2WA</v>
      </c>
      <c r="B200" t="str">
        <f>HYPERLINK("https://www.onsemi.com/pub/Collateral/NGTB40N120FL2WA-D.PDF","NGTB40N120FL2WA/D (152kB)")</f>
        <v>NGTB40N120FL2WA/D (152kB)</v>
      </c>
      <c r="C200" t="s">
        <v>633</v>
      </c>
      <c r="D200" s="2" t="s">
        <v>51</v>
      </c>
      <c r="E200" t="s">
        <v>75</v>
      </c>
      <c r="F200" s="2" t="s">
        <v>97</v>
      </c>
      <c r="G200" s="2" t="s">
        <v>84</v>
      </c>
      <c r="H200" s="2" t="s">
        <v>137</v>
      </c>
      <c r="I200" s="2" t="s">
        <v>108</v>
      </c>
      <c r="J200" s="2" t="s">
        <v>316</v>
      </c>
      <c r="K200" s="2" t="s">
        <v>98</v>
      </c>
      <c r="L200" s="2" t="s">
        <v>606</v>
      </c>
      <c r="M200" s="2" t="s">
        <v>634</v>
      </c>
      <c r="N200" s="2" t="s">
        <v>364</v>
      </c>
      <c r="O200" s="2" t="s">
        <v>46</v>
      </c>
      <c r="P200" s="2" t="s">
        <v>46</v>
      </c>
      <c r="Q200" s="2" t="s">
        <v>635</v>
      </c>
      <c r="R200" s="2" t="s">
        <v>63</v>
      </c>
      <c r="S200" s="2" t="s">
        <v>410</v>
      </c>
    </row>
    <row r="201" spans="1:19" ht="25.5">
      <c r="A201" t="str">
        <f>HYPERLINK("https://www.onsemi.com/PowerSolutions/product.do?id=NGTB40N120FL3","NGTB40N120FL3")</f>
        <v>NGTB40N120FL3</v>
      </c>
      <c r="B201" t="str">
        <f>HYPERLINK("https://www.onsemi.com/pub/Collateral/NGTB40N120FL3W-D.PDF","NGTB40N120FL3W/D (196kB)")</f>
        <v>NGTB40N120FL3W/D (196kB)</v>
      </c>
      <c r="C201" t="s">
        <v>636</v>
      </c>
      <c r="D201" s="2" t="s">
        <v>51</v>
      </c>
      <c r="E201" t="s">
        <v>75</v>
      </c>
      <c r="F201" s="2" t="s">
        <v>97</v>
      </c>
      <c r="G201" s="2" t="s">
        <v>84</v>
      </c>
      <c r="H201" s="2" t="s">
        <v>98</v>
      </c>
      <c r="I201" s="2" t="s">
        <v>99</v>
      </c>
      <c r="J201" s="2" t="s">
        <v>316</v>
      </c>
      <c r="K201" s="2" t="s">
        <v>69</v>
      </c>
      <c r="L201" s="2" t="s">
        <v>637</v>
      </c>
      <c r="M201" s="2" t="s">
        <v>348</v>
      </c>
      <c r="N201" s="2" t="s">
        <v>239</v>
      </c>
      <c r="O201" s="2" t="s">
        <v>46</v>
      </c>
      <c r="P201" s="2" t="s">
        <v>46</v>
      </c>
      <c r="Q201" s="2" t="s">
        <v>638</v>
      </c>
      <c r="R201" s="2" t="s">
        <v>63</v>
      </c>
      <c r="S201" s="2" t="s">
        <v>343</v>
      </c>
    </row>
    <row r="202" spans="1:19" ht="25.5">
      <c r="A202" t="str">
        <f>HYPERLINK("https://www.onsemi.com/PowerSolutions/product.do?id=NGTB40N120IHR","NGTB40N120IHR")</f>
        <v>NGTB40N120IHR</v>
      </c>
      <c r="B202" t="str">
        <f>HYPERLINK("https://www.onsemi.com/pub/Collateral/NGTB40N120IHR-D.PDF","NGTB40N120IHR/D (177kB)")</f>
        <v>NGTB40N120IHR/D (177kB)</v>
      </c>
      <c r="C202" t="s">
        <v>639</v>
      </c>
      <c r="D202" s="2" t="s">
        <v>51</v>
      </c>
      <c r="E202" t="s">
        <v>75</v>
      </c>
      <c r="F202" s="2" t="s">
        <v>97</v>
      </c>
      <c r="G202" s="2" t="s">
        <v>84</v>
      </c>
      <c r="H202" s="2" t="s">
        <v>221</v>
      </c>
      <c r="I202" s="2" t="s">
        <v>137</v>
      </c>
      <c r="J202" s="2" t="s">
        <v>640</v>
      </c>
      <c r="K202" s="2" t="s">
        <v>46</v>
      </c>
      <c r="L202" s="2" t="s">
        <v>46</v>
      </c>
      <c r="M202" s="2" t="s">
        <v>46</v>
      </c>
      <c r="N202" s="2" t="s">
        <v>369</v>
      </c>
      <c r="O202" s="2" t="s">
        <v>46</v>
      </c>
      <c r="P202" s="2" t="s">
        <v>46</v>
      </c>
      <c r="Q202" s="2" t="s">
        <v>610</v>
      </c>
      <c r="R202" s="2" t="s">
        <v>63</v>
      </c>
      <c r="S202" s="2" t="s">
        <v>343</v>
      </c>
    </row>
    <row r="203" spans="1:19" ht="25.5">
      <c r="A203" t="str">
        <f>HYPERLINK("https://www.onsemi.com/PowerSolutions/product.do?id=NGTB40N120L3","NGTB40N120L3")</f>
        <v>NGTB40N120L3</v>
      </c>
      <c r="B203" t="str">
        <f>HYPERLINK("https://www.onsemi.com/pub/Collateral/NGTB40N120L3W-D.PDF","NGTB40N120L3W/D (155kB)")</f>
        <v>NGTB40N120L3W/D (155kB)</v>
      </c>
      <c r="C203" t="s">
        <v>641</v>
      </c>
      <c r="D203" s="2" t="s">
        <v>51</v>
      </c>
      <c r="E203" t="s">
        <v>75</v>
      </c>
      <c r="F203" s="2" t="s">
        <v>97</v>
      </c>
      <c r="G203" s="2" t="s">
        <v>84</v>
      </c>
      <c r="H203" s="2" t="s">
        <v>642</v>
      </c>
      <c r="I203" s="2" t="s">
        <v>99</v>
      </c>
      <c r="J203" s="2" t="s">
        <v>76</v>
      </c>
      <c r="K203" s="2" t="s">
        <v>76</v>
      </c>
      <c r="L203" s="2" t="s">
        <v>637</v>
      </c>
      <c r="M203" s="2" t="s">
        <v>348</v>
      </c>
      <c r="N203" s="2" t="s">
        <v>81</v>
      </c>
      <c r="O203" s="2" t="s">
        <v>46</v>
      </c>
      <c r="P203" s="2" t="s">
        <v>46</v>
      </c>
      <c r="Q203" s="2" t="s">
        <v>638</v>
      </c>
      <c r="R203" s="2" t="s">
        <v>63</v>
      </c>
      <c r="S203" s="2" t="s">
        <v>343</v>
      </c>
    </row>
    <row r="204" spans="1:19" ht="25.5">
      <c r="A204" t="str">
        <f>HYPERLINK("https://www.onsemi.com/PowerSolutions/product.do?id=NGTB40N120S3","NGTB40N120S3")</f>
        <v>NGTB40N120S3</v>
      </c>
      <c r="B204" t="str">
        <f>HYPERLINK("https://www.onsemi.com/pub/Collateral/NGTB40N120S3W-D.PDF","NGTB40N120S3W/D (155kB)")</f>
        <v>NGTB40N120S3W/D (155kB)</v>
      </c>
      <c r="C204" t="s">
        <v>643</v>
      </c>
      <c r="D204" s="2" t="s">
        <v>51</v>
      </c>
      <c r="E204" t="s">
        <v>75</v>
      </c>
      <c r="F204" s="2" t="s">
        <v>97</v>
      </c>
      <c r="G204" s="2" t="s">
        <v>84</v>
      </c>
      <c r="H204" s="2" t="s">
        <v>98</v>
      </c>
      <c r="I204" s="2" t="s">
        <v>108</v>
      </c>
      <c r="J204" s="2" t="s">
        <v>316</v>
      </c>
      <c r="K204" s="2" t="s">
        <v>168</v>
      </c>
      <c r="L204" s="2" t="s">
        <v>400</v>
      </c>
      <c r="M204" s="2" t="s">
        <v>271</v>
      </c>
      <c r="N204" s="2" t="s">
        <v>239</v>
      </c>
      <c r="O204" s="2" t="s">
        <v>46</v>
      </c>
      <c r="P204" s="2" t="s">
        <v>46</v>
      </c>
      <c r="Q204" s="2" t="s">
        <v>638</v>
      </c>
      <c r="R204" s="2" t="s">
        <v>63</v>
      </c>
      <c r="S204" s="2" t="s">
        <v>343</v>
      </c>
    </row>
    <row r="205" spans="1:19" ht="25.5">
      <c r="A205" t="str">
        <f>HYPERLINK("https://www.onsemi.com/PowerSolutions/product.do?id=NGTB40N135IHR","NGTB40N135IHR")</f>
        <v>NGTB40N135IHR</v>
      </c>
      <c r="B205" t="str">
        <f>HYPERLINK("https://www.onsemi.com/pub/Collateral/NGTB40N135IHR-D.PDF","NGTB40N135IHR/D (177kB)")</f>
        <v>NGTB40N135IHR/D (177kB)</v>
      </c>
      <c r="C205" t="s">
        <v>644</v>
      </c>
      <c r="D205" s="2" t="s">
        <v>51</v>
      </c>
      <c r="E205" t="s">
        <v>75</v>
      </c>
      <c r="F205" s="2" t="s">
        <v>595</v>
      </c>
      <c r="G205" s="2" t="s">
        <v>84</v>
      </c>
      <c r="H205" s="2" t="s">
        <v>463</v>
      </c>
      <c r="I205" s="2" t="s">
        <v>221</v>
      </c>
      <c r="J205" s="2" t="s">
        <v>25</v>
      </c>
      <c r="K205" s="2" t="s">
        <v>46</v>
      </c>
      <c r="L205" s="2" t="s">
        <v>46</v>
      </c>
      <c r="M205" s="2" t="s">
        <v>46</v>
      </c>
      <c r="N205" s="2" t="s">
        <v>328</v>
      </c>
      <c r="O205" s="2" t="s">
        <v>46</v>
      </c>
      <c r="P205" s="2" t="s">
        <v>46</v>
      </c>
      <c r="Q205" s="2" t="s">
        <v>612</v>
      </c>
      <c r="R205" s="2" t="s">
        <v>63</v>
      </c>
      <c r="S205" s="2" t="s">
        <v>343</v>
      </c>
    </row>
    <row r="206" spans="1:19" ht="25.5">
      <c r="A206" t="str">
        <f>HYPERLINK("https://www.onsemi.com/PowerSolutions/product.do?id=NGTB40N60L2","NGTB40N60L2")</f>
        <v>NGTB40N60L2</v>
      </c>
      <c r="B206" t="str">
        <f>HYPERLINK("https://www.onsemi.com/pub/Collateral/NGTB40N60L2W-D.PDF","NGTB40N60L2W/D (91kB)")</f>
        <v>NGTB40N60L2W/D (91kB)</v>
      </c>
      <c r="C206" t="s">
        <v>645</v>
      </c>
      <c r="D206" s="2" t="s">
        <v>51</v>
      </c>
      <c r="E206" t="s">
        <v>75</v>
      </c>
      <c r="F206" s="2" t="s">
        <v>142</v>
      </c>
      <c r="G206" s="2" t="s">
        <v>84</v>
      </c>
      <c r="H206" s="2" t="s">
        <v>108</v>
      </c>
      <c r="I206" s="2" t="s">
        <v>463</v>
      </c>
      <c r="J206" s="2" t="s">
        <v>293</v>
      </c>
      <c r="K206" s="2" t="s">
        <v>646</v>
      </c>
      <c r="L206" s="2" t="s">
        <v>187</v>
      </c>
      <c r="M206" s="2" t="s">
        <v>337</v>
      </c>
      <c r="N206" s="2" t="s">
        <v>647</v>
      </c>
      <c r="O206" s="2" t="s">
        <v>296</v>
      </c>
      <c r="P206" s="2" t="s">
        <v>46</v>
      </c>
      <c r="Q206" s="2" t="s">
        <v>378</v>
      </c>
      <c r="R206" s="2" t="s">
        <v>63</v>
      </c>
      <c r="S206" s="2" t="s">
        <v>343</v>
      </c>
    </row>
    <row r="207" spans="1:19" ht="25.5">
      <c r="A207" t="str">
        <f>HYPERLINK("https://www.onsemi.com/PowerSolutions/product.do?id=NGTB40N65FL2","NGTB40N65FL2")</f>
        <v>NGTB40N65FL2</v>
      </c>
      <c r="B207" t="str">
        <f>HYPERLINK("https://www.onsemi.com/pub/Collateral/NGTB40N65FL2W-D.PDF","NGTB40N65FL2W/D (139kB)")</f>
        <v>NGTB40N65FL2W/D (139kB)</v>
      </c>
      <c r="C207" t="s">
        <v>648</v>
      </c>
      <c r="D207" s="2" t="s">
        <v>51</v>
      </c>
      <c r="E207" t="s">
        <v>75</v>
      </c>
      <c r="F207" s="2" t="s">
        <v>22</v>
      </c>
      <c r="G207" s="2" t="s">
        <v>84</v>
      </c>
      <c r="H207" s="2" t="s">
        <v>98</v>
      </c>
      <c r="I207" s="2" t="s">
        <v>168</v>
      </c>
      <c r="J207" s="2" t="s">
        <v>192</v>
      </c>
      <c r="K207" s="2" t="s">
        <v>294</v>
      </c>
      <c r="L207" s="2" t="s">
        <v>445</v>
      </c>
      <c r="M207" s="2" t="s">
        <v>337</v>
      </c>
      <c r="N207" s="2" t="s">
        <v>524</v>
      </c>
      <c r="O207" s="2" t="s">
        <v>296</v>
      </c>
      <c r="P207" s="2" t="s">
        <v>46</v>
      </c>
      <c r="Q207" s="2" t="s">
        <v>649</v>
      </c>
      <c r="R207" s="2" t="s">
        <v>63</v>
      </c>
      <c r="S207" s="2" t="s">
        <v>343</v>
      </c>
    </row>
    <row r="208" spans="1:19" ht="25.5">
      <c r="A208" t="str">
        <f>HYPERLINK("https://www.onsemi.com/PowerSolutions/product.do?id=NGTB40N65IHL2","NGTB40N65IHL2")</f>
        <v>NGTB40N65IHL2</v>
      </c>
      <c r="B208" t="str">
        <f>HYPERLINK("https://www.onsemi.com/pub/Collateral/NGTB40N65IHL2W-D.PDF","NGTB40N65IHL2W/D (175kB)")</f>
        <v>NGTB40N65IHL2W/D (175kB)</v>
      </c>
      <c r="C208" t="s">
        <v>650</v>
      </c>
      <c r="D208" s="2" t="s">
        <v>51</v>
      </c>
      <c r="E208" t="s">
        <v>75</v>
      </c>
      <c r="F208" s="2" t="s">
        <v>22</v>
      </c>
      <c r="G208" s="2" t="s">
        <v>392</v>
      </c>
      <c r="H208" s="2" t="s">
        <v>143</v>
      </c>
      <c r="I208" s="2" t="s">
        <v>207</v>
      </c>
      <c r="J208" s="2" t="s">
        <v>651</v>
      </c>
      <c r="K208" s="2" t="s">
        <v>46</v>
      </c>
      <c r="L208" s="2" t="s">
        <v>652</v>
      </c>
      <c r="M208" s="2" t="s">
        <v>295</v>
      </c>
      <c r="N208" s="2" t="s">
        <v>626</v>
      </c>
      <c r="O208" s="2" t="s">
        <v>46</v>
      </c>
      <c r="P208" s="2" t="s">
        <v>46</v>
      </c>
      <c r="Q208" s="2" t="s">
        <v>161</v>
      </c>
      <c r="R208" s="2" t="s">
        <v>63</v>
      </c>
      <c r="S208" s="2" t="s">
        <v>343</v>
      </c>
    </row>
    <row r="209" spans="1:19" ht="25.5">
      <c r="A209" t="str">
        <f>HYPERLINK("https://www.onsemi.com/PowerSolutions/product.do?id=NGTB50N120FL2","NGTB50N120FL2")</f>
        <v>NGTB50N120FL2</v>
      </c>
      <c r="B209" t="str">
        <f>HYPERLINK("https://www.onsemi.com/pub/Collateral/NGTB50N120FL2W-D.PDF","NGTB50N120FL2W/D (106kB)")</f>
        <v>NGTB50N120FL2W/D (106kB)</v>
      </c>
      <c r="C209" t="s">
        <v>653</v>
      </c>
      <c r="D209" s="2" t="s">
        <v>51</v>
      </c>
      <c r="E209" t="s">
        <v>75</v>
      </c>
      <c r="F209" s="2" t="s">
        <v>97</v>
      </c>
      <c r="G209" s="2" t="s">
        <v>201</v>
      </c>
      <c r="H209" s="2" t="s">
        <v>168</v>
      </c>
      <c r="I209" s="2" t="s">
        <v>108</v>
      </c>
      <c r="J209" s="2" t="s">
        <v>24</v>
      </c>
      <c r="K209" s="2" t="s">
        <v>654</v>
      </c>
      <c r="L209" s="2" t="s">
        <v>400</v>
      </c>
      <c r="M209" s="2" t="s">
        <v>271</v>
      </c>
      <c r="N209" s="2" t="s">
        <v>655</v>
      </c>
      <c r="O209" s="2" t="s">
        <v>333</v>
      </c>
      <c r="P209" s="2" t="s">
        <v>46</v>
      </c>
      <c r="Q209" s="2" t="s">
        <v>632</v>
      </c>
      <c r="R209" s="2" t="s">
        <v>63</v>
      </c>
      <c r="S209" s="2" t="s">
        <v>343</v>
      </c>
    </row>
    <row r="210" spans="1:19" ht="25.5">
      <c r="A210" t="str">
        <f>HYPERLINK("https://www.onsemi.com/PowerSolutions/product.do?id=NGTB50N60L2","NGTB50N60L2")</f>
        <v>NGTB50N60L2</v>
      </c>
      <c r="B210" t="str">
        <f>HYPERLINK("https://www.onsemi.com/pub/Collateral/NGTB50N60L2W-D.PDF","NGTB50N60L2W/D (240kB)")</f>
        <v>NGTB50N60L2W/D (240kB)</v>
      </c>
      <c r="C210" t="s">
        <v>656</v>
      </c>
      <c r="D210" s="2" t="s">
        <v>51</v>
      </c>
      <c r="E210" t="s">
        <v>75</v>
      </c>
      <c r="F210" s="2" t="s">
        <v>142</v>
      </c>
      <c r="G210" s="2" t="s">
        <v>201</v>
      </c>
      <c r="H210" s="2" t="s">
        <v>76</v>
      </c>
      <c r="I210" s="2" t="s">
        <v>98</v>
      </c>
      <c r="J210" s="2" t="s">
        <v>66</v>
      </c>
      <c r="K210" s="2" t="s">
        <v>549</v>
      </c>
      <c r="L210" s="2" t="s">
        <v>657</v>
      </c>
      <c r="M210" s="2" t="s">
        <v>658</v>
      </c>
      <c r="N210" s="2" t="s">
        <v>659</v>
      </c>
      <c r="O210" s="2" t="s">
        <v>296</v>
      </c>
      <c r="P210" s="2" t="s">
        <v>46</v>
      </c>
      <c r="Q210" s="2" t="s">
        <v>372</v>
      </c>
      <c r="R210" s="2" t="s">
        <v>63</v>
      </c>
      <c r="S210" s="2" t="s">
        <v>343</v>
      </c>
    </row>
    <row r="211" spans="1:19" ht="25.5">
      <c r="A211" t="str">
        <f>HYPERLINK("https://www.onsemi.com/PowerSolutions/product.do?id=NGTB50N65FL2","NGTB50N65FL2")</f>
        <v>NGTB50N65FL2</v>
      </c>
      <c r="B211" t="str">
        <f>HYPERLINK("https://www.onsemi.com/pub/Collateral/NGTB50N65FL2W-D.PDF","NGTB50N65FL2W/D (211kB)")</f>
        <v>NGTB50N65FL2W/D (211kB)</v>
      </c>
      <c r="C211" t="s">
        <v>660</v>
      </c>
      <c r="D211" s="2" t="s">
        <v>51</v>
      </c>
      <c r="E211" t="s">
        <v>75</v>
      </c>
      <c r="F211" s="2" t="s">
        <v>22</v>
      </c>
      <c r="G211" s="2" t="s">
        <v>201</v>
      </c>
      <c r="H211" s="2" t="s">
        <v>143</v>
      </c>
      <c r="I211" s="2" t="s">
        <v>137</v>
      </c>
      <c r="J211" s="2" t="s">
        <v>346</v>
      </c>
      <c r="K211" s="2" t="s">
        <v>76</v>
      </c>
      <c r="L211" s="2" t="s">
        <v>95</v>
      </c>
      <c r="M211" s="2" t="s">
        <v>427</v>
      </c>
      <c r="N211" s="2" t="s">
        <v>81</v>
      </c>
      <c r="O211" s="2" t="s">
        <v>296</v>
      </c>
      <c r="P211" s="2" t="s">
        <v>46</v>
      </c>
      <c r="Q211" s="2" t="s">
        <v>378</v>
      </c>
      <c r="R211" s="2" t="s">
        <v>63</v>
      </c>
      <c r="S211" s="2" t="s">
        <v>343</v>
      </c>
    </row>
    <row r="212" spans="1:19" ht="25.5">
      <c r="A212" t="str">
        <f>HYPERLINK("https://www.onsemi.com/PowerSolutions/product.do?id=NGTB50N65FL2WA","NGTB50N65FL2WA")</f>
        <v>NGTB50N65FL2WA</v>
      </c>
      <c r="B212" t="str">
        <f>HYPERLINK("https://www.onsemi.com/pub/Collateral/NGTB50N65FL2WA-D.PDF","NGTB50N65FL2WA/D (157kB)")</f>
        <v>NGTB50N65FL2WA/D (157kB)</v>
      </c>
      <c r="C212" t="s">
        <v>661</v>
      </c>
      <c r="D212" s="2" t="s">
        <v>51</v>
      </c>
      <c r="E212" t="s">
        <v>75</v>
      </c>
      <c r="F212" s="2" t="s">
        <v>22</v>
      </c>
      <c r="G212" s="2" t="s">
        <v>201</v>
      </c>
      <c r="H212" s="2" t="s">
        <v>143</v>
      </c>
      <c r="I212" s="2" t="s">
        <v>137</v>
      </c>
      <c r="J212" s="2" t="s">
        <v>138</v>
      </c>
      <c r="K212" s="2" t="s">
        <v>662</v>
      </c>
      <c r="L212" s="2" t="s">
        <v>95</v>
      </c>
      <c r="M212" s="2" t="s">
        <v>663</v>
      </c>
      <c r="N212" s="2" t="s">
        <v>664</v>
      </c>
      <c r="O212" s="2" t="s">
        <v>46</v>
      </c>
      <c r="P212" s="2" t="s">
        <v>46</v>
      </c>
      <c r="Q212" s="2" t="s">
        <v>378</v>
      </c>
      <c r="R212" s="2" t="s">
        <v>63</v>
      </c>
      <c r="S212" s="2" t="s">
        <v>410</v>
      </c>
    </row>
    <row r="213" spans="1:19" ht="25.5">
      <c r="A213" t="str">
        <f>HYPERLINK("https://www.onsemi.com/PowerSolutions/product.do?id=NGTB60N65FL2","NGTB60N65FL2")</f>
        <v>NGTB60N65FL2</v>
      </c>
      <c r="B213" t="str">
        <f>HYPERLINK("https://www.onsemi.com/pub/Collateral/NGTB60N65FL2W-D.PDF","NGTB60N65FL2W/D (103kB)")</f>
        <v>NGTB60N65FL2W/D (103kB)</v>
      </c>
      <c r="C213" t="s">
        <v>665</v>
      </c>
      <c r="D213" s="2" t="s">
        <v>51</v>
      </c>
      <c r="E213" t="s">
        <v>75</v>
      </c>
      <c r="F213" s="2" t="s">
        <v>22</v>
      </c>
      <c r="G213" s="2" t="s">
        <v>211</v>
      </c>
      <c r="H213" s="2" t="s">
        <v>666</v>
      </c>
      <c r="I213" s="2" t="s">
        <v>667</v>
      </c>
      <c r="J213" s="2" t="s">
        <v>668</v>
      </c>
      <c r="K213" s="2" t="s">
        <v>444</v>
      </c>
      <c r="L213" s="2" t="s">
        <v>669</v>
      </c>
      <c r="M213" s="2" t="s">
        <v>308</v>
      </c>
      <c r="N213" s="2" t="s">
        <v>670</v>
      </c>
      <c r="O213" s="2" t="s">
        <v>296</v>
      </c>
      <c r="P213" s="2" t="s">
        <v>46</v>
      </c>
      <c r="Q213" s="2" t="s">
        <v>671</v>
      </c>
      <c r="R213" s="2" t="s">
        <v>63</v>
      </c>
      <c r="S213" s="2" t="s">
        <v>343</v>
      </c>
    </row>
    <row r="214" spans="1:19" ht="25.5">
      <c r="A214" t="str">
        <f>HYPERLINK("https://www.onsemi.com/PowerSolutions/product.do?id=NGTB75N65FL2","NGTB75N65FL2")</f>
        <v>NGTB75N65FL2</v>
      </c>
      <c r="B214" t="str">
        <f>HYPERLINK("https://www.onsemi.com/pub/Collateral/NGTB75N65FL2W-D.PDF","NGTB75N65FL2W/D (239kB)")</f>
        <v>NGTB75N65FL2W/D (239kB)</v>
      </c>
      <c r="C214" t="s">
        <v>672</v>
      </c>
      <c r="D214" s="2" t="s">
        <v>51</v>
      </c>
      <c r="E214" t="s">
        <v>75</v>
      </c>
      <c r="F214" s="2" t="s">
        <v>22</v>
      </c>
      <c r="G214" s="2" t="s">
        <v>31</v>
      </c>
      <c r="H214" s="2" t="s">
        <v>98</v>
      </c>
      <c r="I214" s="2" t="s">
        <v>168</v>
      </c>
      <c r="J214" s="2" t="s">
        <v>327</v>
      </c>
      <c r="K214" s="2" t="s">
        <v>76</v>
      </c>
      <c r="L214" s="2" t="s">
        <v>380</v>
      </c>
      <c r="M214" s="2" t="s">
        <v>427</v>
      </c>
      <c r="N214" s="2" t="s">
        <v>659</v>
      </c>
      <c r="O214" s="2" t="s">
        <v>296</v>
      </c>
      <c r="P214" s="2" t="s">
        <v>46</v>
      </c>
      <c r="Q214" s="2" t="s">
        <v>671</v>
      </c>
      <c r="R214" s="2" t="s">
        <v>63</v>
      </c>
      <c r="S214" s="2" t="s">
        <v>343</v>
      </c>
    </row>
    <row r="215" spans="1:19" ht="25.5">
      <c r="A215" t="str">
        <f>HYPERLINK("https://www.onsemi.com/PowerSolutions/product.do?id=NGTD13R120F2","NGTD13R120F2")</f>
        <v>NGTD13R120F2</v>
      </c>
      <c r="B215" t="str">
        <f>HYPERLINK("https://www.onsemi.com/pub/Collateral/NGTD13R120F2WP-D.PDF","NGTD13R120F2WP/D (82kB)")</f>
        <v>NGTD13R120F2WP/D (82kB)</v>
      </c>
      <c r="C215" t="s">
        <v>673</v>
      </c>
      <c r="D215" s="2" t="s">
        <v>51</v>
      </c>
      <c r="E215" t="s">
        <v>75</v>
      </c>
      <c r="F215" s="2" t="s">
        <v>97</v>
      </c>
      <c r="G215" s="2" t="s">
        <v>46</v>
      </c>
      <c r="H215" s="2" t="s">
        <v>46</v>
      </c>
      <c r="I215" s="2" t="s">
        <v>137</v>
      </c>
      <c r="J215" t="s">
        <v>29</v>
      </c>
      <c r="K215" s="2" t="s">
        <v>46</v>
      </c>
      <c r="L215" s="2" t="s">
        <v>46</v>
      </c>
      <c r="M215" s="2" t="s">
        <v>46</v>
      </c>
      <c r="N215" s="2" t="s">
        <v>46</v>
      </c>
      <c r="O215" s="2" t="s">
        <v>46</v>
      </c>
      <c r="P215" s="2" t="s">
        <v>46</v>
      </c>
      <c r="Q215" s="2" t="s">
        <v>46</v>
      </c>
      <c r="R215" s="2" t="s">
        <v>46</v>
      </c>
      <c r="S215" t="s">
        <v>29</v>
      </c>
    </row>
    <row r="216" spans="1:19" ht="25.5">
      <c r="A216" t="str">
        <f>HYPERLINK("https://www.onsemi.com/PowerSolutions/product.do?id=NGTD13T120F2","NGTD13T120F2")</f>
        <v>NGTD13T120F2</v>
      </c>
      <c r="B216" t="str">
        <f>HYPERLINK("https://www.onsemi.com/pub/Collateral/NGTD13T120F2WP-D.PDF","NGTD13T120F2WP/D (87kB)")</f>
        <v>NGTD13T120F2WP/D (87kB)</v>
      </c>
      <c r="C216" t="s">
        <v>674</v>
      </c>
      <c r="D216" s="2" t="s">
        <v>51</v>
      </c>
      <c r="E216" t="s">
        <v>75</v>
      </c>
      <c r="F216" s="2" t="s">
        <v>97</v>
      </c>
      <c r="G216" s="2" t="s">
        <v>46</v>
      </c>
      <c r="H216" s="2" t="s">
        <v>108</v>
      </c>
      <c r="I216" t="s">
        <v>29</v>
      </c>
      <c r="J216" s="2" t="s">
        <v>46</v>
      </c>
      <c r="K216" s="2" t="s">
        <v>46</v>
      </c>
      <c r="L216" s="2" t="s">
        <v>46</v>
      </c>
      <c r="M216" s="2" t="s">
        <v>46</v>
      </c>
      <c r="N216" s="2" t="s">
        <v>46</v>
      </c>
      <c r="O216" s="2" t="s">
        <v>333</v>
      </c>
      <c r="P216" s="2" t="s">
        <v>46</v>
      </c>
      <c r="Q216" s="2" t="s">
        <v>46</v>
      </c>
      <c r="R216" s="2" t="s">
        <v>46</v>
      </c>
      <c r="S216" t="s">
        <v>29</v>
      </c>
    </row>
    <row r="217" spans="1:19" ht="25.5">
      <c r="A217" t="str">
        <f>HYPERLINK("https://www.onsemi.com/PowerSolutions/product.do?id=NGTD13T65F2","NGTD13T65F2")</f>
        <v>NGTD13T65F2</v>
      </c>
      <c r="B217" t="str">
        <f>HYPERLINK("https://www.onsemi.com/pub/Collateral/NGTD13T65F2WP-D.PDF","NGTD13T65F2WP/D (98kB)")</f>
        <v>NGTD13T65F2WP/D (98kB)</v>
      </c>
      <c r="C217" t="s">
        <v>675</v>
      </c>
      <c r="D217" s="2" t="s">
        <v>51</v>
      </c>
      <c r="E217" t="s">
        <v>75</v>
      </c>
      <c r="F217" s="2" t="s">
        <v>22</v>
      </c>
      <c r="G217" s="2" t="s">
        <v>46</v>
      </c>
      <c r="H217" s="2" t="s">
        <v>69</v>
      </c>
      <c r="I217" s="2" t="s">
        <v>46</v>
      </c>
      <c r="J217" s="2" t="s">
        <v>46</v>
      </c>
      <c r="K217" s="2" t="s">
        <v>46</v>
      </c>
      <c r="L217" s="2" t="s">
        <v>46</v>
      </c>
      <c r="M217" s="2" t="s">
        <v>46</v>
      </c>
      <c r="N217" s="2" t="s">
        <v>46</v>
      </c>
      <c r="O217" s="2" t="s">
        <v>296</v>
      </c>
      <c r="P217" s="2" t="s">
        <v>46</v>
      </c>
      <c r="Q217" s="2" t="s">
        <v>46</v>
      </c>
      <c r="R217" s="2" t="s">
        <v>46</v>
      </c>
      <c r="S217" t="s">
        <v>29</v>
      </c>
    </row>
    <row r="218" spans="1:19" ht="25.5">
      <c r="A218" t="str">
        <f>HYPERLINK("https://www.onsemi.com/PowerSolutions/product.do?id=NGTD14T65F2","NGTD14T65F2")</f>
        <v>NGTD14T65F2</v>
      </c>
      <c r="B218" t="str">
        <f>HYPERLINK("https://www.onsemi.com/pub/Collateral/NGTD14T65F2WP-D.PDF","NGTD14T65F2WP/D (87kB)")</f>
        <v>NGTD14T65F2WP/D (87kB)</v>
      </c>
      <c r="C218" t="s">
        <v>676</v>
      </c>
      <c r="D218" s="2" t="s">
        <v>51</v>
      </c>
      <c r="E218" t="s">
        <v>75</v>
      </c>
      <c r="F218" s="2" t="s">
        <v>22</v>
      </c>
      <c r="G218" s="2" t="s">
        <v>46</v>
      </c>
      <c r="H218" s="2" t="s">
        <v>98</v>
      </c>
      <c r="I218" s="2" t="s">
        <v>46</v>
      </c>
      <c r="J218" s="2" t="s">
        <v>46</v>
      </c>
      <c r="K218" s="2" t="s">
        <v>46</v>
      </c>
      <c r="L218" s="2" t="s">
        <v>46</v>
      </c>
      <c r="M218" s="2" t="s">
        <v>46</v>
      </c>
      <c r="N218" s="2" t="s">
        <v>46</v>
      </c>
      <c r="O218" s="2" t="s">
        <v>333</v>
      </c>
      <c r="P218" s="2" t="s">
        <v>46</v>
      </c>
      <c r="Q218" s="2" t="s">
        <v>46</v>
      </c>
      <c r="R218" s="2" t="s">
        <v>46</v>
      </c>
      <c r="S218" t="s">
        <v>29</v>
      </c>
    </row>
    <row r="219" spans="1:19" ht="25.5">
      <c r="A219" t="str">
        <f>HYPERLINK("https://www.onsemi.com/PowerSolutions/product.do?id=NGTD15R65F2","NGTD15R65F2")</f>
        <v>NGTD15R65F2</v>
      </c>
      <c r="B219" t="str">
        <f>HYPERLINK("https://www.onsemi.com/pub/Collateral/NGTD15R65F2WP-D.PDF","NGTD15R65F2WP/D (78kB)")</f>
        <v>NGTD15R65F2WP/D (78kB)</v>
      </c>
      <c r="C219" t="s">
        <v>677</v>
      </c>
      <c r="D219" s="2" t="s">
        <v>51</v>
      </c>
      <c r="E219" t="s">
        <v>75</v>
      </c>
      <c r="F219" s="2" t="s">
        <v>22</v>
      </c>
      <c r="G219" s="2" t="s">
        <v>46</v>
      </c>
      <c r="H219" s="2" t="s">
        <v>46</v>
      </c>
      <c r="I219" s="2" t="s">
        <v>168</v>
      </c>
      <c r="J219" s="2" t="s">
        <v>46</v>
      </c>
      <c r="K219" s="2" t="s">
        <v>46</v>
      </c>
      <c r="L219" s="2" t="s">
        <v>46</v>
      </c>
      <c r="M219" s="2" t="s">
        <v>46</v>
      </c>
      <c r="N219" s="2" t="s">
        <v>46</v>
      </c>
      <c r="O219" s="2" t="s">
        <v>46</v>
      </c>
      <c r="P219" s="2" t="s">
        <v>46</v>
      </c>
      <c r="Q219" s="2" t="s">
        <v>46</v>
      </c>
      <c r="R219" s="2" t="s">
        <v>46</v>
      </c>
      <c r="S219" t="s">
        <v>29</v>
      </c>
    </row>
    <row r="220" spans="1:19" ht="25.5">
      <c r="A220" t="str">
        <f>HYPERLINK("https://www.onsemi.com/PowerSolutions/product.do?id=NGTD17R120F2","NGTD17R120F2")</f>
        <v>NGTD17R120F2</v>
      </c>
      <c r="B220" t="str">
        <f>HYPERLINK("https://www.onsemi.com/pub/Collateral/NGTD17R120F2WP-D.PDF","NGTD17R120F2WP/D (51kB)")</f>
        <v>NGTD17R120F2WP/D (51kB)</v>
      </c>
      <c r="C220" t="s">
        <v>678</v>
      </c>
      <c r="D220" s="2" t="s">
        <v>51</v>
      </c>
      <c r="E220" t="s">
        <v>75</v>
      </c>
      <c r="F220" s="2" t="s">
        <v>97</v>
      </c>
      <c r="G220" s="2" t="s">
        <v>46</v>
      </c>
      <c r="H220" s="2" t="s">
        <v>46</v>
      </c>
      <c r="I220" s="2" t="s">
        <v>143</v>
      </c>
      <c r="J220" s="2" t="s">
        <v>46</v>
      </c>
      <c r="K220" s="2" t="s">
        <v>46</v>
      </c>
      <c r="L220" s="2" t="s">
        <v>46</v>
      </c>
      <c r="M220" s="2" t="s">
        <v>46</v>
      </c>
      <c r="N220" s="2" t="s">
        <v>46</v>
      </c>
      <c r="O220" s="2" t="s">
        <v>46</v>
      </c>
      <c r="P220" s="2" t="s">
        <v>46</v>
      </c>
      <c r="Q220" s="2" t="s">
        <v>46</v>
      </c>
      <c r="R220" s="2" t="s">
        <v>46</v>
      </c>
      <c r="S220" t="s">
        <v>29</v>
      </c>
    </row>
    <row r="221" spans="1:19" ht="25.5">
      <c r="A221" t="str">
        <f>HYPERLINK("https://www.onsemi.com/PowerSolutions/product.do?id=NGTD17T65F2","NGTD17T65F2")</f>
        <v>NGTD17T65F2</v>
      </c>
      <c r="B221" t="str">
        <f>HYPERLINK("https://www.onsemi.com/pub/Collateral/NGTD17T65F2WP-D.PDF","NGTD17T65F2WP/D (89kB)")</f>
        <v>NGTD17T65F2WP/D (89kB)</v>
      </c>
      <c r="C221" t="s">
        <v>679</v>
      </c>
      <c r="D221" s="2" t="s">
        <v>51</v>
      </c>
      <c r="E221" t="s">
        <v>75</v>
      </c>
      <c r="F221" s="2" t="s">
        <v>22</v>
      </c>
      <c r="G221" s="2" t="s">
        <v>46</v>
      </c>
      <c r="H221" s="2" t="s">
        <v>98</v>
      </c>
      <c r="I221" s="2" t="s">
        <v>46</v>
      </c>
      <c r="J221" s="2" t="s">
        <v>46</v>
      </c>
      <c r="K221" s="2" t="s">
        <v>46</v>
      </c>
      <c r="L221" s="2" t="s">
        <v>46</v>
      </c>
      <c r="M221" s="2" t="s">
        <v>46</v>
      </c>
      <c r="N221" s="2" t="s">
        <v>46</v>
      </c>
      <c r="O221" s="2" t="s">
        <v>296</v>
      </c>
      <c r="P221" s="2" t="s">
        <v>46</v>
      </c>
      <c r="Q221" s="2" t="s">
        <v>46</v>
      </c>
      <c r="R221" s="2" t="s">
        <v>46</v>
      </c>
      <c r="S221" t="s">
        <v>29</v>
      </c>
    </row>
    <row r="222" spans="1:19" ht="25.5">
      <c r="A222" t="str">
        <f>HYPERLINK("https://www.onsemi.com/PowerSolutions/product.do?id=NGTD20T120F2","NGTD20T120F2")</f>
        <v>NGTD20T120F2</v>
      </c>
      <c r="B222" t="str">
        <f>HYPERLINK("https://www.onsemi.com/pub/Collateral/NGTD20T120F2WP-D.PDF","NGTD20T120F2WP/D (87kB)")</f>
        <v>NGTD20T120F2WP/D (87kB)</v>
      </c>
      <c r="C222" t="s">
        <v>680</v>
      </c>
      <c r="D222" s="2" t="s">
        <v>51</v>
      </c>
      <c r="E222" t="s">
        <v>75</v>
      </c>
      <c r="F222" s="2" t="s">
        <v>97</v>
      </c>
      <c r="G222" s="2" t="s">
        <v>46</v>
      </c>
      <c r="H222" s="2" t="s">
        <v>108</v>
      </c>
      <c r="I222" s="2" t="s">
        <v>46</v>
      </c>
      <c r="J222" s="2" t="s">
        <v>46</v>
      </c>
      <c r="K222" s="2" t="s">
        <v>46</v>
      </c>
      <c r="L222" s="2" t="s">
        <v>46</v>
      </c>
      <c r="M222" s="2" t="s">
        <v>46</v>
      </c>
      <c r="N222" s="2" t="s">
        <v>46</v>
      </c>
      <c r="O222" s="2" t="s">
        <v>333</v>
      </c>
      <c r="P222" s="2" t="s">
        <v>46</v>
      </c>
      <c r="Q222" s="2" t="s">
        <v>46</v>
      </c>
      <c r="R222" s="2" t="s">
        <v>46</v>
      </c>
      <c r="S222" t="s">
        <v>29</v>
      </c>
    </row>
    <row r="223" spans="1:19" ht="25.5">
      <c r="A223" t="str">
        <f>HYPERLINK("https://www.onsemi.com/PowerSolutions/product.do?id=NGTD21T65F2","NGTD21T65F2")</f>
        <v>NGTD21T65F2</v>
      </c>
      <c r="B223" t="str">
        <f>HYPERLINK("https://www.onsemi.com/pub/Collateral/NGTD21T65F2WP-D.PDF","NGTD21T65F2WP/D (84kB)")</f>
        <v>NGTD21T65F2WP/D (84kB)</v>
      </c>
      <c r="C223" t="s">
        <v>681</v>
      </c>
      <c r="D223" s="2" t="s">
        <v>51</v>
      </c>
      <c r="E223" t="s">
        <v>75</v>
      </c>
      <c r="F223" s="2" t="s">
        <v>22</v>
      </c>
      <c r="G223" s="2" t="s">
        <v>46</v>
      </c>
      <c r="H223" s="2" t="s">
        <v>98</v>
      </c>
      <c r="I223" s="2" t="s">
        <v>46</v>
      </c>
      <c r="J223" s="2" t="s">
        <v>46</v>
      </c>
      <c r="K223" s="2" t="s">
        <v>46</v>
      </c>
      <c r="L223" s="2" t="s">
        <v>46</v>
      </c>
      <c r="M223" s="2" t="s">
        <v>46</v>
      </c>
      <c r="N223" s="2" t="s">
        <v>46</v>
      </c>
      <c r="O223" s="2" t="s">
        <v>296</v>
      </c>
      <c r="P223" s="2" t="s">
        <v>46</v>
      </c>
      <c r="Q223" s="2" t="s">
        <v>46</v>
      </c>
      <c r="R223" s="2" t="s">
        <v>46</v>
      </c>
      <c r="S223" t="s">
        <v>29</v>
      </c>
    </row>
    <row r="224" spans="1:19" ht="25.5">
      <c r="A224" t="str">
        <f>HYPERLINK("https://www.onsemi.com/PowerSolutions/product.do?id=NGTD23T120F2","NGTD23T120F2")</f>
        <v>NGTD23T120F2</v>
      </c>
      <c r="B224" t="str">
        <f>HYPERLINK("https://www.onsemi.com/pub/Collateral/NGTD23T120F2WP-D.PDF","NGTD23T120F2WP/D (89kB)")</f>
        <v>NGTD23T120F2WP/D (89kB)</v>
      </c>
      <c r="C224" t="s">
        <v>682</v>
      </c>
      <c r="D224" s="2" t="s">
        <v>51</v>
      </c>
      <c r="E224" t="s">
        <v>75</v>
      </c>
      <c r="F224" s="2" t="s">
        <v>97</v>
      </c>
      <c r="G224" s="2" t="s">
        <v>46</v>
      </c>
      <c r="H224" s="2" t="s">
        <v>126</v>
      </c>
      <c r="I224" s="2" t="s">
        <v>46</v>
      </c>
      <c r="J224" s="2" t="s">
        <v>46</v>
      </c>
      <c r="K224" s="2" t="s">
        <v>46</v>
      </c>
      <c r="L224" s="2" t="s">
        <v>46</v>
      </c>
      <c r="M224" s="2" t="s">
        <v>46</v>
      </c>
      <c r="N224" s="2" t="s">
        <v>46</v>
      </c>
      <c r="O224" s="2" t="s">
        <v>333</v>
      </c>
      <c r="P224" s="2" t="s">
        <v>46</v>
      </c>
      <c r="Q224" s="2" t="s">
        <v>46</v>
      </c>
      <c r="R224" s="2" t="s">
        <v>46</v>
      </c>
      <c r="S224" t="s">
        <v>29</v>
      </c>
    </row>
    <row r="225" spans="1:19" ht="25.5">
      <c r="A225" t="str">
        <f>HYPERLINK("https://www.onsemi.com/PowerSolutions/product.do?id=NGTD28T65F2","NGTD28T65F2")</f>
        <v>NGTD28T65F2</v>
      </c>
      <c r="B225" t="str">
        <f>HYPERLINK("https://www.onsemi.com/pub/Collateral/NGTD28T65F2WP-D.PDF","NGTD28T65F2WP/D (84kB)")</f>
        <v>NGTD28T65F2WP/D (84kB)</v>
      </c>
      <c r="C225" t="s">
        <v>683</v>
      </c>
      <c r="D225" s="2" t="s">
        <v>51</v>
      </c>
      <c r="E225" t="s">
        <v>75</v>
      </c>
      <c r="F225" s="2" t="s">
        <v>22</v>
      </c>
      <c r="G225" s="2" t="s">
        <v>46</v>
      </c>
      <c r="H225" s="2" t="s">
        <v>121</v>
      </c>
      <c r="I225" s="2" t="s">
        <v>46</v>
      </c>
      <c r="J225" s="2" t="s">
        <v>46</v>
      </c>
      <c r="K225" s="2" t="s">
        <v>46</v>
      </c>
      <c r="L225" s="2" t="s">
        <v>46</v>
      </c>
      <c r="M225" s="2" t="s">
        <v>46</v>
      </c>
      <c r="N225" s="2" t="s">
        <v>46</v>
      </c>
      <c r="O225" s="2" t="s">
        <v>296</v>
      </c>
      <c r="P225" s="2" t="s">
        <v>46</v>
      </c>
      <c r="Q225" s="2" t="s">
        <v>46</v>
      </c>
      <c r="R225" s="2" t="s">
        <v>46</v>
      </c>
      <c r="S225" t="s">
        <v>29</v>
      </c>
    </row>
    <row r="226" spans="1:19" ht="25.5">
      <c r="A226" t="str">
        <f>HYPERLINK("https://www.onsemi.com/PowerSolutions/product.do?id=NGTD30T120F2","NGTD30T120F2")</f>
        <v>NGTD30T120F2</v>
      </c>
      <c r="B226" t="str">
        <f>HYPERLINK("https://www.onsemi.com/pub/Collateral/NGTD30T120F2WP-D.PDF","NGTD30T120F2WP/D (348kB)")</f>
        <v>NGTD30T120F2WP/D (348kB)</v>
      </c>
      <c r="C226" t="s">
        <v>684</v>
      </c>
      <c r="D226" s="2" t="s">
        <v>51</v>
      </c>
      <c r="E226" t="s">
        <v>75</v>
      </c>
      <c r="F226" s="2" t="s">
        <v>97</v>
      </c>
      <c r="G226" s="2" t="s">
        <v>46</v>
      </c>
      <c r="H226" s="2" t="s">
        <v>108</v>
      </c>
      <c r="I226" s="2" t="s">
        <v>46</v>
      </c>
      <c r="J226" s="2" t="s">
        <v>46</v>
      </c>
      <c r="K226" s="2" t="s">
        <v>46</v>
      </c>
      <c r="L226" s="2" t="s">
        <v>46</v>
      </c>
      <c r="M226" s="2" t="s">
        <v>46</v>
      </c>
      <c r="N226" s="2" t="s">
        <v>46</v>
      </c>
      <c r="O226" s="2" t="s">
        <v>333</v>
      </c>
      <c r="P226" s="2" t="s">
        <v>46</v>
      </c>
      <c r="Q226" s="2" t="s">
        <v>46</v>
      </c>
      <c r="R226" s="2" t="s">
        <v>46</v>
      </c>
      <c r="S226" t="s">
        <v>29</v>
      </c>
    </row>
    <row r="227" spans="1:19" ht="25.5">
      <c r="A227" t="str">
        <f>HYPERLINK("https://www.onsemi.com/PowerSolutions/product.do?id=NGTD5R65F2","NGTD5R65F2")</f>
        <v>NGTD5R65F2</v>
      </c>
      <c r="B227" t="str">
        <f>HYPERLINK("https://www.onsemi.com/pub/Collateral/NGTD5R65F2WP-D.PDF","NGTD5R65F2WP/D (87kB)")</f>
        <v>NGTD5R65F2WP/D (87kB)</v>
      </c>
      <c r="C227" t="s">
        <v>685</v>
      </c>
      <c r="D227" s="2" t="s">
        <v>51</v>
      </c>
      <c r="E227" t="s">
        <v>75</v>
      </c>
      <c r="F227" s="2" t="s">
        <v>22</v>
      </c>
      <c r="G227" s="2" t="s">
        <v>46</v>
      </c>
      <c r="H227" s="2" t="s">
        <v>46</v>
      </c>
      <c r="I227" s="2" t="s">
        <v>316</v>
      </c>
      <c r="J227" s="2" t="s">
        <v>46</v>
      </c>
      <c r="K227" s="2" t="s">
        <v>46</v>
      </c>
      <c r="L227" s="2" t="s">
        <v>46</v>
      </c>
      <c r="M227" s="2" t="s">
        <v>46</v>
      </c>
      <c r="N227" s="2" t="s">
        <v>46</v>
      </c>
      <c r="O227" s="2" t="s">
        <v>46</v>
      </c>
      <c r="P227" s="2" t="s">
        <v>46</v>
      </c>
      <c r="Q227" s="2" t="s">
        <v>46</v>
      </c>
      <c r="R227" s="2" t="s">
        <v>46</v>
      </c>
      <c r="S227" t="s">
        <v>29</v>
      </c>
    </row>
    <row r="228" spans="1:19" ht="25.5">
      <c r="A228" t="str">
        <f>HYPERLINK("https://www.onsemi.com/PowerSolutions/product.do?id=NGTD8R65F2","NGTD8R65F2")</f>
        <v>NGTD8R65F2</v>
      </c>
      <c r="B228" t="str">
        <f>HYPERLINK("https://www.onsemi.com/pub/Collateral/NGTD8R65F2WP-D.PDF","NGTD8R65F2WP/D (81kB)")</f>
        <v>NGTD8R65F2WP/D (81kB)</v>
      </c>
      <c r="C228" t="s">
        <v>686</v>
      </c>
      <c r="D228" s="2" t="s">
        <v>51</v>
      </c>
      <c r="E228" t="s">
        <v>75</v>
      </c>
      <c r="F228" s="2" t="s">
        <v>22</v>
      </c>
      <c r="G228" s="2" t="s">
        <v>46</v>
      </c>
      <c r="H228" s="2" t="s">
        <v>46</v>
      </c>
      <c r="I228" s="2" t="s">
        <v>137</v>
      </c>
      <c r="J228" s="2" t="s">
        <v>46</v>
      </c>
      <c r="K228" s="2" t="s">
        <v>46</v>
      </c>
      <c r="L228" s="2" t="s">
        <v>46</v>
      </c>
      <c r="M228" s="2" t="s">
        <v>46</v>
      </c>
      <c r="N228" s="2" t="s">
        <v>46</v>
      </c>
      <c r="O228" s="2" t="s">
        <v>46</v>
      </c>
      <c r="P228" s="2" t="s">
        <v>46</v>
      </c>
      <c r="Q228" s="2" t="s">
        <v>46</v>
      </c>
      <c r="R228" s="2" t="s">
        <v>46</v>
      </c>
      <c r="S228" t="s">
        <v>29</v>
      </c>
    </row>
    <row r="229" spans="1:19" ht="25.5">
      <c r="A229" t="str">
        <f>HYPERLINK("https://www.onsemi.com/PowerSolutions/product.do?id=NGTD9R120F2","NGTD9R120F2")</f>
        <v>NGTD9R120F2</v>
      </c>
      <c r="B229" t="str">
        <f>HYPERLINK("https://www.onsemi.com/pub/Collateral/NGTD9R120F2WP-D.PDF","NGTD9R120F2WP/D (80kB)")</f>
        <v>NGTD9R120F2WP/D (80kB)</v>
      </c>
      <c r="C229" t="s">
        <v>687</v>
      </c>
      <c r="D229" s="2" t="s">
        <v>51</v>
      </c>
      <c r="E229" t="s">
        <v>75</v>
      </c>
      <c r="F229" s="2" t="s">
        <v>97</v>
      </c>
      <c r="G229" s="2" t="s">
        <v>46</v>
      </c>
      <c r="H229" s="2" t="s">
        <v>46</v>
      </c>
      <c r="I229" s="2" t="s">
        <v>108</v>
      </c>
      <c r="J229" t="s">
        <v>29</v>
      </c>
      <c r="K229" s="2" t="s">
        <v>46</v>
      </c>
      <c r="L229" s="2" t="s">
        <v>46</v>
      </c>
      <c r="M229" s="2" t="s">
        <v>46</v>
      </c>
      <c r="N229" s="2" t="s">
        <v>46</v>
      </c>
      <c r="O229" s="2" t="s">
        <v>46</v>
      </c>
      <c r="P229" s="2" t="s">
        <v>46</v>
      </c>
      <c r="Q229" s="2" t="s">
        <v>46</v>
      </c>
      <c r="R229" s="2" t="s">
        <v>46</v>
      </c>
      <c r="S229" t="s">
        <v>29</v>
      </c>
    </row>
    <row r="230" spans="1:19">
      <c r="A230" t="str">
        <f>HYPERLINK("https://www.onsemi.com/PowerSolutions/product.do?id=NGTG12N60TF1G","NGTG12N60TF1G")</f>
        <v>NGTG12N60TF1G</v>
      </c>
      <c r="B230" t="str">
        <f>HYPERLINK("https://www.onsemi.com/pub/Collateral/ENA2219-D.PDF","ENA2219/D (392kB)")</f>
        <v>ENA2219/D (392kB)</v>
      </c>
      <c r="C230" t="s">
        <v>688</v>
      </c>
      <c r="D230" s="2" t="s">
        <v>20</v>
      </c>
      <c r="E230" t="s">
        <v>75</v>
      </c>
      <c r="F230" s="2" t="s">
        <v>142</v>
      </c>
      <c r="G230" s="2" t="s">
        <v>348</v>
      </c>
      <c r="H230" s="2" t="s">
        <v>24</v>
      </c>
      <c r="I230" s="2" t="s">
        <v>46</v>
      </c>
      <c r="J230" s="2" t="s">
        <v>46</v>
      </c>
      <c r="K230" s="2" t="s">
        <v>46</v>
      </c>
      <c r="L230" s="2" t="s">
        <v>46</v>
      </c>
      <c r="M230" s="2" t="s">
        <v>46</v>
      </c>
      <c r="N230" s="2" t="s">
        <v>230</v>
      </c>
      <c r="O230" s="2" t="s">
        <v>296</v>
      </c>
      <c r="P230" s="2" t="s">
        <v>46</v>
      </c>
      <c r="Q230" s="2" t="s">
        <v>602</v>
      </c>
      <c r="R230" s="2" t="s">
        <v>32</v>
      </c>
      <c r="S230" s="2" t="s">
        <v>33</v>
      </c>
    </row>
    <row r="231" spans="1:19" ht="25.5">
      <c r="A231" t="str">
        <f>HYPERLINK("https://www.onsemi.com/PowerSolutions/product.do?id=NGTG15N120FL2","NGTG15N120FL2")</f>
        <v>NGTG15N120FL2</v>
      </c>
      <c r="B231" t="str">
        <f>HYPERLINK("https://www.onsemi.com/pub/Collateral/NGTG15N120FL2W-D.PDF","NGTG15N120FL2W/D (224kB)")</f>
        <v>NGTG15N120FL2W/D (224kB)</v>
      </c>
      <c r="C231" t="s">
        <v>689</v>
      </c>
      <c r="D231" s="2" t="s">
        <v>51</v>
      </c>
      <c r="E231" t="s">
        <v>75</v>
      </c>
      <c r="F231" s="2" t="s">
        <v>97</v>
      </c>
      <c r="G231" s="2" t="s">
        <v>106</v>
      </c>
      <c r="H231" s="2" t="s">
        <v>108</v>
      </c>
      <c r="I231" s="2" t="s">
        <v>46</v>
      </c>
      <c r="J231" s="2" t="s">
        <v>263</v>
      </c>
      <c r="K231" s="2" t="s">
        <v>207</v>
      </c>
      <c r="L231" s="2" t="s">
        <v>46</v>
      </c>
      <c r="M231" s="2" t="s">
        <v>46</v>
      </c>
      <c r="N231" s="2" t="s">
        <v>590</v>
      </c>
      <c r="O231" s="2" t="s">
        <v>333</v>
      </c>
      <c r="P231" s="2" t="s">
        <v>46</v>
      </c>
      <c r="Q231" s="2" t="s">
        <v>591</v>
      </c>
      <c r="R231" s="2" t="s">
        <v>32</v>
      </c>
      <c r="S231" s="2" t="s">
        <v>343</v>
      </c>
    </row>
    <row r="232" spans="1:19">
      <c r="A232" t="str">
        <f>HYPERLINK("https://www.onsemi.com/PowerSolutions/product.do?id=NGTG15N60S1","NGTG15N60S1")</f>
        <v>NGTG15N60S1</v>
      </c>
      <c r="B232" t="str">
        <f>HYPERLINK("https://www.onsemi.com/pub/Collateral/NGTG15N60S1E-D.PDF","NGTG15N60S1E/D (124kB)")</f>
        <v>NGTG15N60S1E/D (124kB)</v>
      </c>
      <c r="C232" t="s">
        <v>690</v>
      </c>
      <c r="D232" s="2" t="s">
        <v>20</v>
      </c>
      <c r="E232" t="s">
        <v>75</v>
      </c>
      <c r="F232" s="2" t="s">
        <v>142</v>
      </c>
      <c r="G232" s="2" t="s">
        <v>106</v>
      </c>
      <c r="H232" s="2" t="s">
        <v>76</v>
      </c>
      <c r="I232" s="2" t="s">
        <v>46</v>
      </c>
      <c r="J232" s="2" t="s">
        <v>605</v>
      </c>
      <c r="K232" s="2" t="s">
        <v>600</v>
      </c>
      <c r="L232" s="2" t="s">
        <v>46</v>
      </c>
      <c r="M232" s="2" t="s">
        <v>46</v>
      </c>
      <c r="N232" s="2" t="s">
        <v>607</v>
      </c>
      <c r="O232" s="2" t="s">
        <v>296</v>
      </c>
      <c r="P232" s="2" t="s">
        <v>46</v>
      </c>
      <c r="Q232" s="2" t="s">
        <v>608</v>
      </c>
      <c r="R232" s="2" t="s">
        <v>32</v>
      </c>
      <c r="S232" s="2" t="s">
        <v>511</v>
      </c>
    </row>
    <row r="233" spans="1:19" ht="25.5">
      <c r="A233" t="str">
        <f>HYPERLINK("https://www.onsemi.com/PowerSolutions/product.do?id=NGTG20N60L2TF1G","NGTG20N60L2TF1G")</f>
        <v>NGTG20N60L2TF1G</v>
      </c>
      <c r="B233" t="str">
        <f>HYPERLINK("https://www.onsemi.com/pub/Collateral/NGTG20N60L2TF1G-D.PDF","NGTG20N60L2TF1G/D (400.0kB)")</f>
        <v>NGTG20N60L2TF1G/D (400.0kB)</v>
      </c>
      <c r="C233" t="s">
        <v>691</v>
      </c>
      <c r="D233" s="2" t="s">
        <v>51</v>
      </c>
      <c r="E233" t="s">
        <v>75</v>
      </c>
      <c r="F233" s="2" t="s">
        <v>142</v>
      </c>
      <c r="G233" s="2" t="s">
        <v>23</v>
      </c>
      <c r="H233" s="2" t="s">
        <v>184</v>
      </c>
      <c r="I233" s="2" t="s">
        <v>46</v>
      </c>
      <c r="J233" s="2" t="s">
        <v>46</v>
      </c>
      <c r="K233" s="2" t="s">
        <v>46</v>
      </c>
      <c r="L233" s="2" t="s">
        <v>46</v>
      </c>
      <c r="M233" s="2" t="s">
        <v>46</v>
      </c>
      <c r="N233" s="2" t="s">
        <v>230</v>
      </c>
      <c r="O233" s="2" t="s">
        <v>46</v>
      </c>
      <c r="P233" s="2" t="s">
        <v>46</v>
      </c>
      <c r="Q233" s="2" t="s">
        <v>248</v>
      </c>
      <c r="R233" s="2" t="s">
        <v>32</v>
      </c>
      <c r="S233" s="2" t="s">
        <v>33</v>
      </c>
    </row>
    <row r="234" spans="1:19" ht="25.5">
      <c r="A234" t="str">
        <f>HYPERLINK("https://www.onsemi.com/PowerSolutions/product.do?id=NGTG25N120FL2","NGTG25N120FL2")</f>
        <v>NGTG25N120FL2</v>
      </c>
      <c r="B234" t="str">
        <f>HYPERLINK("https://www.onsemi.com/pub/Collateral/NGTG25N120FL2W-D.PDF","NGTG25N120FL2W/D (136kB)")</f>
        <v>NGTG25N120FL2W/D (136kB)</v>
      </c>
      <c r="C234" t="s">
        <v>692</v>
      </c>
      <c r="D234" s="2" t="s">
        <v>51</v>
      </c>
      <c r="E234" t="s">
        <v>75</v>
      </c>
      <c r="F234" s="2" t="s">
        <v>97</v>
      </c>
      <c r="G234" s="2" t="s">
        <v>359</v>
      </c>
      <c r="H234" s="2" t="s">
        <v>108</v>
      </c>
      <c r="I234" s="2" t="s">
        <v>46</v>
      </c>
      <c r="J234" s="2" t="s">
        <v>66</v>
      </c>
      <c r="K234" s="2" t="s">
        <v>391</v>
      </c>
      <c r="L234" s="2" t="s">
        <v>46</v>
      </c>
      <c r="M234" s="2" t="s">
        <v>46</v>
      </c>
      <c r="N234" s="2" t="s">
        <v>515</v>
      </c>
      <c r="O234" s="2" t="s">
        <v>333</v>
      </c>
      <c r="P234" s="2" t="s">
        <v>46</v>
      </c>
      <c r="Q234" s="2" t="s">
        <v>616</v>
      </c>
      <c r="R234" s="2" t="s">
        <v>32</v>
      </c>
      <c r="S234" s="2" t="s">
        <v>343</v>
      </c>
    </row>
    <row r="235" spans="1:19" ht="25.5">
      <c r="A235" t="str">
        <f>HYPERLINK("https://www.onsemi.com/PowerSolutions/product.do?id=NGTG35N65FL2","NGTG35N65FL2")</f>
        <v>NGTG35N65FL2</v>
      </c>
      <c r="B235" t="str">
        <f>HYPERLINK("https://www.onsemi.com/pub/Collateral/NGTG35N65FL2W-D.PDF","NGTG35N65FL2W/D (82kB)")</f>
        <v>NGTG35N65FL2W/D (82kB)</v>
      </c>
      <c r="C235" t="s">
        <v>630</v>
      </c>
      <c r="D235" s="2" t="s">
        <v>51</v>
      </c>
      <c r="E235" t="s">
        <v>75</v>
      </c>
      <c r="F235" s="2" t="s">
        <v>22</v>
      </c>
      <c r="G235" s="2" t="s">
        <v>159</v>
      </c>
      <c r="H235" s="2" t="s">
        <v>98</v>
      </c>
      <c r="I235" s="2" t="s">
        <v>46</v>
      </c>
      <c r="J235" s="2" t="s">
        <v>293</v>
      </c>
      <c r="K235" s="2" t="s">
        <v>629</v>
      </c>
      <c r="L235" s="2" t="s">
        <v>193</v>
      </c>
      <c r="M235" s="2" t="s">
        <v>303</v>
      </c>
      <c r="N235" s="2" t="s">
        <v>482</v>
      </c>
      <c r="O235" s="2" t="s">
        <v>296</v>
      </c>
      <c r="P235" s="2" t="s">
        <v>46</v>
      </c>
      <c r="Q235" s="2" t="s">
        <v>161</v>
      </c>
      <c r="R235" s="2" t="s">
        <v>32</v>
      </c>
      <c r="S235" s="2" t="s">
        <v>343</v>
      </c>
    </row>
    <row r="236" spans="1:19" ht="25.5">
      <c r="A236" t="str">
        <f>HYPERLINK("https://www.onsemi.com/PowerSolutions/product.do?id=NGTG40N120FL2","NGTG40N120FL2")</f>
        <v>NGTG40N120FL2</v>
      </c>
      <c r="B236" t="str">
        <f>HYPERLINK("https://www.onsemi.com/pub/Collateral/NGTG40N120FL2W-D.PDF","NGTG40N120FL2W/D (178kB)")</f>
        <v>NGTG40N120FL2W/D (178kB)</v>
      </c>
      <c r="C236" t="s">
        <v>693</v>
      </c>
      <c r="D236" s="2" t="s">
        <v>51</v>
      </c>
      <c r="E236" t="s">
        <v>75</v>
      </c>
      <c r="F236" s="2" t="s">
        <v>97</v>
      </c>
      <c r="G236" s="2" t="s">
        <v>84</v>
      </c>
      <c r="H236" s="2" t="s">
        <v>108</v>
      </c>
      <c r="I236" s="2" t="s">
        <v>46</v>
      </c>
      <c r="J236" s="2" t="s">
        <v>316</v>
      </c>
      <c r="K236" s="2" t="s">
        <v>398</v>
      </c>
      <c r="L236" s="2" t="s">
        <v>46</v>
      </c>
      <c r="M236" s="2" t="s">
        <v>46</v>
      </c>
      <c r="N236" s="2" t="s">
        <v>364</v>
      </c>
      <c r="O236" s="2" t="s">
        <v>333</v>
      </c>
      <c r="P236" s="2" t="s">
        <v>46</v>
      </c>
      <c r="Q236" s="2" t="s">
        <v>632</v>
      </c>
      <c r="R236" s="2" t="s">
        <v>32</v>
      </c>
      <c r="S236" s="2" t="s">
        <v>343</v>
      </c>
    </row>
    <row r="237" spans="1:19" ht="25.5">
      <c r="A237" t="str">
        <f>HYPERLINK("https://www.onsemi.com/PowerSolutions/product.do?id=PCFG25T120SQF","PCFG25T120SQF")</f>
        <v>PCFG25T120SQF</v>
      </c>
      <c r="B237" t="str">
        <f>HYPERLINK("https://www.onsemi.com/pub/Collateral/PCFG25T120SQF-D.PDF","PCFG25T120SQF/D (175kB)")</f>
        <v>PCFG25T120SQF/D (175kB)</v>
      </c>
      <c r="C237" t="s">
        <v>694</v>
      </c>
      <c r="D237" s="2" t="s">
        <v>51</v>
      </c>
      <c r="E237" t="s">
        <v>75</v>
      </c>
      <c r="F237" s="2" t="s">
        <v>97</v>
      </c>
      <c r="G237" s="2" t="s">
        <v>257</v>
      </c>
      <c r="H237" s="2" t="s">
        <v>98</v>
      </c>
      <c r="I237" t="s">
        <v>29</v>
      </c>
      <c r="J237" t="s">
        <v>29</v>
      </c>
      <c r="K237" t="s">
        <v>29</v>
      </c>
      <c r="L237" t="s">
        <v>29</v>
      </c>
      <c r="M237" t="s">
        <v>29</v>
      </c>
      <c r="N237" s="2" t="s">
        <v>112</v>
      </c>
      <c r="O237" t="s">
        <v>29</v>
      </c>
      <c r="P237" t="s">
        <v>29</v>
      </c>
      <c r="Q237" t="s">
        <v>29</v>
      </c>
      <c r="R237" t="s">
        <v>29</v>
      </c>
      <c r="S237" t="s">
        <v>29</v>
      </c>
    </row>
    <row r="238" spans="1:19" ht="25.5">
      <c r="A238" t="str">
        <f>HYPERLINK("https://www.onsemi.com/PowerSolutions/product.do?id=PCFG40T65SQF","PCFG40T65SQF")</f>
        <v>PCFG40T65SQF</v>
      </c>
      <c r="B238" t="str">
        <f>HYPERLINK("https://www.onsemi.com/pub/Collateral/PCFG40T65SQF-D.PDF","PCFG40T65SQF/D (170kB)")</f>
        <v>PCFG40T65SQF/D (170kB)</v>
      </c>
      <c r="C238" t="s">
        <v>695</v>
      </c>
      <c r="D238" s="2" t="s">
        <v>51</v>
      </c>
      <c r="E238" t="s">
        <v>75</v>
      </c>
      <c r="F238" t="s">
        <v>29</v>
      </c>
      <c r="G238" s="2" t="s">
        <v>696</v>
      </c>
      <c r="H238" s="2" t="s">
        <v>93</v>
      </c>
      <c r="I238" t="s">
        <v>29</v>
      </c>
      <c r="J238" t="s">
        <v>29</v>
      </c>
      <c r="K238" t="s">
        <v>29</v>
      </c>
      <c r="L238" t="s">
        <v>29</v>
      </c>
      <c r="M238" t="s">
        <v>29</v>
      </c>
      <c r="N238" t="s">
        <v>29</v>
      </c>
      <c r="O238" t="s">
        <v>29</v>
      </c>
      <c r="P238" t="s">
        <v>29</v>
      </c>
      <c r="Q238" t="s">
        <v>29</v>
      </c>
      <c r="R238" t="s">
        <v>29</v>
      </c>
      <c r="S238" t="s">
        <v>29</v>
      </c>
    </row>
    <row r="239" spans="1:19" ht="25.5">
      <c r="A239" t="str">
        <f>HYPERLINK("https://www.onsemi.com/PowerSolutions/product.do?id=PCFG50T65SQF","PCFG50T65SQF")</f>
        <v>PCFG50T65SQF</v>
      </c>
      <c r="B239" t="str">
        <f>HYPERLINK("https://www.onsemi.com/pub/Collateral/PCFG50T65SQF-D.PDF","PCFG50T65SQF/D (121kB)")</f>
        <v>PCFG50T65SQF/D (121kB)</v>
      </c>
      <c r="C239" t="s">
        <v>697</v>
      </c>
      <c r="D239" s="2" t="s">
        <v>51</v>
      </c>
      <c r="E239" t="s">
        <v>75</v>
      </c>
      <c r="F239" t="s">
        <v>29</v>
      </c>
      <c r="G239" s="2" t="s">
        <v>92</v>
      </c>
      <c r="H239" s="2" t="s">
        <v>93</v>
      </c>
      <c r="I239" t="s">
        <v>29</v>
      </c>
      <c r="J239" t="s">
        <v>29</v>
      </c>
      <c r="K239" t="s">
        <v>29</v>
      </c>
      <c r="L239" t="s">
        <v>29</v>
      </c>
      <c r="M239" t="s">
        <v>29</v>
      </c>
      <c r="N239" s="2" t="s">
        <v>698</v>
      </c>
      <c r="O239" t="s">
        <v>29</v>
      </c>
      <c r="P239" t="s">
        <v>29</v>
      </c>
      <c r="Q239" t="s">
        <v>29</v>
      </c>
      <c r="R239" t="s">
        <v>29</v>
      </c>
      <c r="S239" t="s">
        <v>29</v>
      </c>
    </row>
    <row r="240" spans="1:19" ht="25.5">
      <c r="A240" t="str">
        <f>HYPERLINK("https://www.onsemi.com/PowerSolutions/product.do?id=PCFG60T120SQF","PCFG60T120SQF")</f>
        <v>PCFG60T120SQF</v>
      </c>
      <c r="B240" t="str">
        <f>HYPERLINK("https://www.onsemi.com/pub/Collateral/PCFG60T120SQF-D.PDF","PCFG60T120SQF/D (185kB)")</f>
        <v>PCFG60T120SQF/D (185kB)</v>
      </c>
      <c r="C240" t="s">
        <v>699</v>
      </c>
      <c r="D240" s="2" t="s">
        <v>51</v>
      </c>
      <c r="E240" t="s">
        <v>75</v>
      </c>
      <c r="F240" s="2" t="s">
        <v>97</v>
      </c>
      <c r="G240" s="2" t="s">
        <v>532</v>
      </c>
      <c r="H240" s="2" t="s">
        <v>98</v>
      </c>
      <c r="I240" t="s">
        <v>29</v>
      </c>
      <c r="J240" t="s">
        <v>29</v>
      </c>
      <c r="K240" t="s">
        <v>29</v>
      </c>
      <c r="L240" t="s">
        <v>29</v>
      </c>
      <c r="M240" t="s">
        <v>29</v>
      </c>
      <c r="N240" t="s">
        <v>29</v>
      </c>
      <c r="O240" t="s">
        <v>29</v>
      </c>
      <c r="P240" t="s">
        <v>29</v>
      </c>
      <c r="Q240" t="s">
        <v>29</v>
      </c>
      <c r="R240" t="s">
        <v>29</v>
      </c>
      <c r="S240" t="s">
        <v>29</v>
      </c>
    </row>
    <row r="241" spans="1:19" ht="25.5">
      <c r="A241" t="str">
        <f>HYPERLINK("https://www.onsemi.com/PowerSolutions/product.do?id=PCFG75T120SQF","PCFG75T120SQF")</f>
        <v>PCFG75T120SQF</v>
      </c>
      <c r="B241" t="str">
        <f>HYPERLINK("https://www.onsemi.com/pub/Collateral/PCFG75T120SQF-D.PDF","PCFG75T120SQF/D (137kB)")</f>
        <v>PCFG75T120SQF/D (137kB)</v>
      </c>
      <c r="C241" t="s">
        <v>700</v>
      </c>
      <c r="D241" s="2" t="s">
        <v>51</v>
      </c>
      <c r="E241" t="s">
        <v>75</v>
      </c>
      <c r="F241" s="2" t="s">
        <v>97</v>
      </c>
      <c r="G241" s="2" t="s">
        <v>161</v>
      </c>
      <c r="H241" s="2" t="s">
        <v>98</v>
      </c>
      <c r="I241" t="s">
        <v>29</v>
      </c>
      <c r="J241" t="s">
        <v>29</v>
      </c>
      <c r="K241" t="s">
        <v>29</v>
      </c>
      <c r="L241" t="s">
        <v>29</v>
      </c>
      <c r="M241" t="s">
        <v>29</v>
      </c>
      <c r="N241" s="2" t="s">
        <v>546</v>
      </c>
      <c r="O241" t="s">
        <v>29</v>
      </c>
      <c r="P241" t="s">
        <v>29</v>
      </c>
      <c r="Q241" t="s">
        <v>29</v>
      </c>
      <c r="R241" t="s">
        <v>29</v>
      </c>
      <c r="S241" t="s">
        <v>29</v>
      </c>
    </row>
    <row r="242" spans="1:19" ht="25.5">
      <c r="A242" t="str">
        <f>HYPERLINK("https://www.onsemi.com/PowerSolutions/product.do?id=PCFG75T65LQF","PCFG75T65LQF")</f>
        <v>PCFG75T65LQF</v>
      </c>
      <c r="B242" t="str">
        <f>HYPERLINK("https://www.onsemi.com/pub/Collateral/PCFG75T65LQF-D.PDF","PCFG75T65LQF/D (167kB)")</f>
        <v>PCFG75T65LQF/D (167kB)</v>
      </c>
      <c r="C242" t="s">
        <v>701</v>
      </c>
      <c r="D242" s="2" t="s">
        <v>51</v>
      </c>
      <c r="E242" t="s">
        <v>75</v>
      </c>
      <c r="F242" t="s">
        <v>29</v>
      </c>
      <c r="G242" t="s">
        <v>29</v>
      </c>
      <c r="H242" t="s">
        <v>29</v>
      </c>
      <c r="I242" t="s">
        <v>29</v>
      </c>
      <c r="J242" t="s">
        <v>29</v>
      </c>
      <c r="K242" t="s">
        <v>29</v>
      </c>
      <c r="L242" t="s">
        <v>29</v>
      </c>
      <c r="M242" t="s">
        <v>29</v>
      </c>
      <c r="N242" t="s">
        <v>29</v>
      </c>
      <c r="O242" t="s">
        <v>29</v>
      </c>
      <c r="P242" t="s">
        <v>29</v>
      </c>
      <c r="Q242" t="s">
        <v>29</v>
      </c>
      <c r="R242" t="s">
        <v>29</v>
      </c>
      <c r="S242" t="s">
        <v>29</v>
      </c>
    </row>
    <row r="243" spans="1:19" ht="25.5">
      <c r="A243" t="str">
        <f>HYPERLINK("https://www.onsemi.com/PowerSolutions/product.do?id=PCFG75T65MQF","PCFG75T65MQF")</f>
        <v>PCFG75T65MQF</v>
      </c>
      <c r="B243" t="str">
        <f>HYPERLINK("https://www.onsemi.com/pub/Collateral/PCFG75T65MQF-D.PDF","PCFG75T65MQF/D (162kB)")</f>
        <v>PCFG75T65MQF/D (162kB)</v>
      </c>
      <c r="C243" t="s">
        <v>702</v>
      </c>
      <c r="D243" s="2" t="s">
        <v>51</v>
      </c>
      <c r="E243" t="s">
        <v>75</v>
      </c>
      <c r="F243" t="s">
        <v>29</v>
      </c>
      <c r="G243" t="s">
        <v>29</v>
      </c>
      <c r="H243" t="s">
        <v>29</v>
      </c>
      <c r="I243" t="s">
        <v>29</v>
      </c>
      <c r="J243" t="s">
        <v>29</v>
      </c>
      <c r="K243" t="s">
        <v>29</v>
      </c>
      <c r="L243" t="s">
        <v>29</v>
      </c>
      <c r="M243" t="s">
        <v>29</v>
      </c>
      <c r="N243" t="s">
        <v>29</v>
      </c>
      <c r="O243" t="s">
        <v>29</v>
      </c>
      <c r="P243" t="s">
        <v>29</v>
      </c>
      <c r="Q243" t="s">
        <v>29</v>
      </c>
      <c r="R243" t="s">
        <v>29</v>
      </c>
      <c r="S243" t="s">
        <v>29</v>
      </c>
    </row>
    <row r="244" spans="1:19" ht="25.5">
      <c r="A244" t="str">
        <f>HYPERLINK("https://www.onsemi.com/PowerSolutions/product.do?id=PCFG75T65SQF","PCFG75T65SQF")</f>
        <v>PCFG75T65SQF</v>
      </c>
      <c r="B244" t="str">
        <f>HYPERLINK("https://www.onsemi.com/pub/Collateral/PCFG75T65SQF-D.PDF","PCFG75T65SQF/D (165kB)")</f>
        <v>PCFG75T65SQF/D (165kB)</v>
      </c>
      <c r="C244" t="s">
        <v>703</v>
      </c>
      <c r="D244" s="2" t="s">
        <v>51</v>
      </c>
      <c r="E244" t="s">
        <v>75</v>
      </c>
      <c r="F244" t="s">
        <v>29</v>
      </c>
      <c r="G244" s="2" t="s">
        <v>704</v>
      </c>
      <c r="H244" s="2" t="s">
        <v>93</v>
      </c>
      <c r="I244" t="s">
        <v>29</v>
      </c>
      <c r="J244" t="s">
        <v>29</v>
      </c>
      <c r="K244" t="s">
        <v>29</v>
      </c>
      <c r="L244" t="s">
        <v>29</v>
      </c>
      <c r="M244" t="s">
        <v>29</v>
      </c>
      <c r="N244" s="2" t="s">
        <v>705</v>
      </c>
      <c r="O244" t="s">
        <v>29</v>
      </c>
      <c r="P244" t="s">
        <v>29</v>
      </c>
      <c r="Q244" t="s">
        <v>29</v>
      </c>
      <c r="R244" t="s">
        <v>29</v>
      </c>
      <c r="S244" t="s">
        <v>29</v>
      </c>
    </row>
    <row r="245" spans="1:19" ht="51">
      <c r="A245" t="str">
        <f>HYPERLINK("https://www.onsemi.com/PowerSolutions/product.do?id=PCGA160T65NF8","PCGA160T65NF8")</f>
        <v>PCGA160T65NF8</v>
      </c>
      <c r="B245" t="str">
        <f>HYPERLINK("https://www.onsemi.com/pub/Collateral/PCGA160T65NF8-D.pdf","PCGA160T65NF8/D (468kB)")</f>
        <v>PCGA160T65NF8/D (468kB)</v>
      </c>
      <c r="C245" t="s">
        <v>706</v>
      </c>
      <c r="D245" s="2" t="s">
        <v>42</v>
      </c>
      <c r="E245" t="s">
        <v>75</v>
      </c>
      <c r="F245" s="2" t="s">
        <v>22</v>
      </c>
      <c r="G245" s="2" t="s">
        <v>46</v>
      </c>
      <c r="H245" s="2" t="s">
        <v>596</v>
      </c>
      <c r="I245" s="2" t="s">
        <v>46</v>
      </c>
      <c r="J245" s="2" t="s">
        <v>46</v>
      </c>
      <c r="K245" s="2" t="s">
        <v>46</v>
      </c>
      <c r="L245" s="2" t="s">
        <v>46</v>
      </c>
      <c r="M245" s="2" t="s">
        <v>46</v>
      </c>
      <c r="N245" s="2" t="s">
        <v>707</v>
      </c>
      <c r="O245" s="2" t="s">
        <v>326</v>
      </c>
      <c r="P245" s="2" t="s">
        <v>46</v>
      </c>
      <c r="Q245" s="2" t="s">
        <v>46</v>
      </c>
      <c r="R245" s="2" t="s">
        <v>32</v>
      </c>
      <c r="S245" t="s">
        <v>29</v>
      </c>
    </row>
    <row r="246" spans="1:19" ht="51">
      <c r="A246" t="str">
        <f>HYPERLINK("https://www.onsemi.com/PowerSolutions/product.do?id=PCGA200T65NF8","PCGA200T65NF8")</f>
        <v>PCGA200T65NF8</v>
      </c>
      <c r="B246" t="str">
        <f>HYPERLINK("https://www.onsemi.com/pub/Collateral/PCGA200T65NF8-D.pdf","PCGA200T65NF8/D (459kB)")</f>
        <v>PCGA200T65NF8/D (459kB)</v>
      </c>
      <c r="C246" t="s">
        <v>708</v>
      </c>
      <c r="D246" s="2" t="s">
        <v>42</v>
      </c>
      <c r="E246" t="s">
        <v>75</v>
      </c>
      <c r="F246" s="2" t="s">
        <v>22</v>
      </c>
      <c r="G246" s="2" t="s">
        <v>46</v>
      </c>
      <c r="H246" s="2" t="s">
        <v>709</v>
      </c>
      <c r="I246" s="2" t="s">
        <v>46</v>
      </c>
      <c r="J246" s="2" t="s">
        <v>46</v>
      </c>
      <c r="K246" s="2" t="s">
        <v>46</v>
      </c>
      <c r="L246" s="2" t="s">
        <v>46</v>
      </c>
      <c r="M246" s="2" t="s">
        <v>46</v>
      </c>
      <c r="N246" s="2" t="s">
        <v>710</v>
      </c>
      <c r="O246" s="2" t="s">
        <v>296</v>
      </c>
      <c r="P246" s="2" t="s">
        <v>46</v>
      </c>
      <c r="Q246" s="2" t="s">
        <v>46</v>
      </c>
      <c r="R246" s="2" t="s">
        <v>32</v>
      </c>
      <c r="S246" t="s">
        <v>29</v>
      </c>
    </row>
    <row r="247" spans="1:19" ht="51">
      <c r="A247" t="str">
        <f>HYPERLINK("https://www.onsemi.com/PowerSolutions/product.do?id=PCGA200T65NF8M1","PCGA200T65NF8M1")</f>
        <v>PCGA200T65NF8M1</v>
      </c>
      <c r="B247" t="str">
        <f>HYPERLINK("https://www.onsemi.com/pub/Collateral/PCGA200T65NF8M1-D.PDF","PCGA200T65NF8M1/D (60kB)")</f>
        <v>PCGA200T65NF8M1/D (60kB)</v>
      </c>
      <c r="C247" t="s">
        <v>711</v>
      </c>
      <c r="D247" s="2" t="s">
        <v>42</v>
      </c>
      <c r="E247" t="s">
        <v>75</v>
      </c>
      <c r="F247" t="s">
        <v>29</v>
      </c>
      <c r="G247" t="s">
        <v>29</v>
      </c>
      <c r="H247" t="s">
        <v>29</v>
      </c>
      <c r="I247" t="s">
        <v>29</v>
      </c>
      <c r="J247" t="s">
        <v>29</v>
      </c>
      <c r="K247" t="s">
        <v>29</v>
      </c>
      <c r="L247" t="s">
        <v>29</v>
      </c>
      <c r="M247" t="s">
        <v>29</v>
      </c>
      <c r="N247" t="s">
        <v>29</v>
      </c>
      <c r="O247" t="s">
        <v>29</v>
      </c>
      <c r="P247" t="s">
        <v>29</v>
      </c>
      <c r="Q247" t="s">
        <v>29</v>
      </c>
      <c r="R247" t="s">
        <v>29</v>
      </c>
      <c r="S247" t="s">
        <v>29</v>
      </c>
    </row>
    <row r="248" spans="1:19" ht="51">
      <c r="A248" t="str">
        <f>HYPERLINK("https://www.onsemi.com/PowerSolutions/product.do?id=PCGA300T65DF8","PCGA300T65DF8")</f>
        <v>PCGA300T65DF8</v>
      </c>
      <c r="B248" t="str">
        <f>HYPERLINK("https://www.onsemi.com/pub/Collateral/PCGA300T65DF8-D.pdf","PCGA300T65DF8/D (502kB)")</f>
        <v>PCGA300T65DF8/D (502kB)</v>
      </c>
      <c r="C248" t="s">
        <v>712</v>
      </c>
      <c r="D248" s="2" t="s">
        <v>42</v>
      </c>
      <c r="E248" t="s">
        <v>75</v>
      </c>
      <c r="F248" s="2" t="s">
        <v>22</v>
      </c>
      <c r="G248" s="2" t="s">
        <v>46</v>
      </c>
      <c r="H248" s="2" t="s">
        <v>347</v>
      </c>
      <c r="I248" s="2" t="s">
        <v>46</v>
      </c>
      <c r="J248" s="2" t="s">
        <v>46</v>
      </c>
      <c r="K248" s="2" t="s">
        <v>46</v>
      </c>
      <c r="L248" s="2" t="s">
        <v>46</v>
      </c>
      <c r="M248" s="2" t="s">
        <v>46</v>
      </c>
      <c r="N248" s="2" t="s">
        <v>135</v>
      </c>
      <c r="O248" s="2" t="s">
        <v>296</v>
      </c>
      <c r="P248" s="2" t="s">
        <v>46</v>
      </c>
      <c r="Q248" s="2" t="s">
        <v>46</v>
      </c>
      <c r="R248" s="2" t="s">
        <v>32</v>
      </c>
      <c r="S248" t="s">
        <v>29</v>
      </c>
    </row>
    <row r="249" spans="1:19" ht="51">
      <c r="A249" t="str">
        <f>HYPERLINK("https://www.onsemi.com/PowerSolutions/product.do?id=PCGA300T65DF8M1","PCGA300T65DF8M1")</f>
        <v>PCGA300T65DF8M1</v>
      </c>
      <c r="B249" t="str">
        <f>HYPERLINK("https://www.onsemi.com/pub/Collateral/PCGA300T65DF8M1_x0002_-D.PDF","PCGA300T65DF8M1_x0002_/D (116kB)")</f>
        <v>PCGA300T65DF8M1_x0002_/D (116kB)</v>
      </c>
      <c r="C249" t="s">
        <v>713</v>
      </c>
      <c r="D249" s="2" t="s">
        <v>42</v>
      </c>
      <c r="E249" t="s">
        <v>75</v>
      </c>
      <c r="F249" t="s">
        <v>29</v>
      </c>
      <c r="G249" t="s">
        <v>29</v>
      </c>
      <c r="H249" t="s">
        <v>29</v>
      </c>
      <c r="I249" t="s">
        <v>29</v>
      </c>
      <c r="J249" t="s">
        <v>29</v>
      </c>
      <c r="K249" t="s">
        <v>29</v>
      </c>
      <c r="L249" t="s">
        <v>29</v>
      </c>
      <c r="M249" t="s">
        <v>29</v>
      </c>
      <c r="N249" t="s">
        <v>29</v>
      </c>
      <c r="O249" t="s">
        <v>29</v>
      </c>
      <c r="P249" t="s">
        <v>29</v>
      </c>
      <c r="Q249" t="s">
        <v>29</v>
      </c>
      <c r="R249" t="s">
        <v>29</v>
      </c>
      <c r="S249" t="s">
        <v>29</v>
      </c>
    </row>
    <row r="250" spans="1:19" ht="51">
      <c r="A250" t="str">
        <f>HYPERLINK("https://www.onsemi.com/PowerSolutions/product.do?id=PCGLA200T75NF8","PCGLA200T75NF8")</f>
        <v>PCGLA200T75NF8</v>
      </c>
      <c r="B250" t="str">
        <f>HYPERLINK("https://www.onsemi.com/pub/Collateral/PCGLA200T75NF8-D.PDF","PCGLA200T75NF8/D (226kB)")</f>
        <v>PCGLA200T75NF8/D (226kB)</v>
      </c>
      <c r="C250" t="s">
        <v>714</v>
      </c>
      <c r="D250" s="2" t="s">
        <v>42</v>
      </c>
      <c r="E250" t="s">
        <v>75</v>
      </c>
      <c r="F250" t="s">
        <v>29</v>
      </c>
      <c r="G250" t="s">
        <v>29</v>
      </c>
      <c r="H250" t="s">
        <v>29</v>
      </c>
      <c r="I250" t="s">
        <v>29</v>
      </c>
      <c r="J250" t="s">
        <v>29</v>
      </c>
      <c r="K250" t="s">
        <v>29</v>
      </c>
      <c r="L250" t="s">
        <v>29</v>
      </c>
      <c r="M250" t="s">
        <v>29</v>
      </c>
      <c r="N250" t="s">
        <v>29</v>
      </c>
      <c r="O250" t="s">
        <v>29</v>
      </c>
      <c r="P250" t="s">
        <v>29</v>
      </c>
      <c r="Q250" t="s">
        <v>29</v>
      </c>
      <c r="R250" t="s">
        <v>29</v>
      </c>
      <c r="S250" t="s">
        <v>29</v>
      </c>
    </row>
    <row r="251" spans="1:19" ht="51">
      <c r="A251" t="str">
        <f>HYPERLINK("https://www.onsemi.com/PowerSolutions/product.do?id=PCRKA16065F8","PCRKA16065F8")</f>
        <v>PCRKA16065F8</v>
      </c>
      <c r="B251" t="str">
        <f>HYPERLINK("https://www.onsemi.com/pub/Collateral/PCRKA16065F8-D.pdf","PCRKA16065F8/D (465kB)")</f>
        <v>PCRKA16065F8/D (465kB)</v>
      </c>
      <c r="C251" t="s">
        <v>715</v>
      </c>
      <c r="D251" s="2" t="s">
        <v>42</v>
      </c>
      <c r="E251" t="s">
        <v>75</v>
      </c>
      <c r="F251" s="2" t="s">
        <v>22</v>
      </c>
      <c r="G251" s="2" t="s">
        <v>46</v>
      </c>
      <c r="H251" s="2" t="s">
        <v>46</v>
      </c>
      <c r="I251" s="2" t="s">
        <v>24</v>
      </c>
      <c r="J251" s="2" t="s">
        <v>46</v>
      </c>
      <c r="K251" s="2" t="s">
        <v>46</v>
      </c>
      <c r="L251" s="2" t="s">
        <v>539</v>
      </c>
      <c r="M251" s="2" t="s">
        <v>201</v>
      </c>
      <c r="N251" s="2" t="s">
        <v>46</v>
      </c>
      <c r="O251" s="2" t="s">
        <v>46</v>
      </c>
      <c r="P251" s="2" t="s">
        <v>46</v>
      </c>
      <c r="Q251" s="2" t="s">
        <v>46</v>
      </c>
      <c r="R251" s="2" t="s">
        <v>32</v>
      </c>
      <c r="S251" t="s">
        <v>29</v>
      </c>
    </row>
    <row r="252" spans="1:19" ht="51">
      <c r="A252" t="str">
        <f>HYPERLINK("https://www.onsemi.com/PowerSolutions/product.do?id=PCRKA20065F8M1","PCRKA20065F8M1")</f>
        <v>PCRKA20065F8M1</v>
      </c>
      <c r="B252" t="str">
        <f>HYPERLINK("https://www.onsemi.com/pub/Collateral/PCRKA20065F8M1-D.PDF","PCRKA20065F8M1/D (43kB)")</f>
        <v>PCRKA20065F8M1/D (43kB)</v>
      </c>
      <c r="C252" t="s">
        <v>716</v>
      </c>
      <c r="D252" s="2" t="s">
        <v>42</v>
      </c>
      <c r="E252" t="s">
        <v>75</v>
      </c>
      <c r="F252" t="s">
        <v>29</v>
      </c>
      <c r="G252" t="s">
        <v>29</v>
      </c>
      <c r="H252" t="s">
        <v>29</v>
      </c>
      <c r="I252" t="s">
        <v>29</v>
      </c>
      <c r="J252" t="s">
        <v>29</v>
      </c>
      <c r="K252" t="s">
        <v>29</v>
      </c>
      <c r="L252" t="s">
        <v>29</v>
      </c>
      <c r="M252" t="s">
        <v>29</v>
      </c>
      <c r="N252" t="s">
        <v>29</v>
      </c>
      <c r="O252" t="s">
        <v>29</v>
      </c>
      <c r="P252" t="s">
        <v>29</v>
      </c>
      <c r="Q252" t="s">
        <v>29</v>
      </c>
      <c r="R252" t="s">
        <v>29</v>
      </c>
      <c r="S252" t="s">
        <v>29</v>
      </c>
    </row>
    <row r="253" spans="1:19" ht="51">
      <c r="A253" t="str">
        <f>HYPERLINK("https://www.onsemi.com/PowerSolutions/product.do?id=PCRKA20075F8","PCRKA20075F8")</f>
        <v>PCRKA20075F8</v>
      </c>
      <c r="B253" t="str">
        <f>HYPERLINK("https://www.onsemi.com/pub/Collateral/PCRKA20075F8-D.PDF","PCRKA20075F8/D (126kB)")</f>
        <v>PCRKA20075F8/D (126kB)</v>
      </c>
      <c r="C253" t="s">
        <v>717</v>
      </c>
      <c r="D253" s="2" t="s">
        <v>42</v>
      </c>
      <c r="E253" t="s">
        <v>75</v>
      </c>
      <c r="F253" t="s">
        <v>29</v>
      </c>
      <c r="G253" t="s">
        <v>29</v>
      </c>
      <c r="H253" t="s">
        <v>29</v>
      </c>
      <c r="I253" t="s">
        <v>29</v>
      </c>
      <c r="J253" t="s">
        <v>29</v>
      </c>
      <c r="K253" t="s">
        <v>29</v>
      </c>
      <c r="L253" t="s">
        <v>29</v>
      </c>
      <c r="M253" t="s">
        <v>29</v>
      </c>
      <c r="N253" t="s">
        <v>29</v>
      </c>
      <c r="O253" t="s">
        <v>29</v>
      </c>
      <c r="P253" t="s">
        <v>29</v>
      </c>
      <c r="Q253" t="s">
        <v>29</v>
      </c>
      <c r="R253" t="s">
        <v>29</v>
      </c>
      <c r="S253" t="s">
        <v>29</v>
      </c>
    </row>
    <row r="254" spans="1:19" ht="51">
      <c r="A254" t="str">
        <f>HYPERLINK("https://www.onsemi.com/PowerSolutions/product.do?id=PCRKA30065F8M1","PCRKA30065F8M1")</f>
        <v>PCRKA30065F8M1</v>
      </c>
      <c r="B254" t="str">
        <f>HYPERLINK("https://www.onsemi.com/pub/Collateral/PCRKA30065F8M1-D.PDF","PCRKA30065F8M1/D (85kB)")</f>
        <v>PCRKA30065F8M1/D (85kB)</v>
      </c>
      <c r="C254" t="s">
        <v>718</v>
      </c>
      <c r="D254" s="2" t="s">
        <v>42</v>
      </c>
      <c r="E254" t="s">
        <v>75</v>
      </c>
      <c r="F254" t="s">
        <v>29</v>
      </c>
      <c r="G254" t="s">
        <v>29</v>
      </c>
      <c r="H254" t="s">
        <v>29</v>
      </c>
      <c r="I254" t="s">
        <v>29</v>
      </c>
      <c r="J254" t="s">
        <v>29</v>
      </c>
      <c r="K254" t="s">
        <v>29</v>
      </c>
      <c r="L254" t="s">
        <v>29</v>
      </c>
      <c r="M254" t="s">
        <v>29</v>
      </c>
      <c r="N254" t="s">
        <v>29</v>
      </c>
      <c r="O254" t="s">
        <v>29</v>
      </c>
      <c r="P254" t="s">
        <v>29</v>
      </c>
      <c r="Q254" t="s">
        <v>29</v>
      </c>
      <c r="R254" t="s">
        <v>29</v>
      </c>
      <c r="S254" t="s">
        <v>29</v>
      </c>
    </row>
    <row r="255" spans="1:19">
      <c r="A255" t="str">
        <f>HYPERLINK("https://www.onsemi.com/PowerSolutions/product.do?id=SGF23N60UF","SGF23N60UF")</f>
        <v>SGF23N60UF</v>
      </c>
      <c r="B255" t="str">
        <f>HYPERLINK("https://www.onsemi.com/pub/Collateral/SGF23N60UF-D.pdf","SGF23N60UF/D (394kB)")</f>
        <v>SGF23N60UF/D (394kB)</v>
      </c>
      <c r="C255" t="s">
        <v>253</v>
      </c>
      <c r="D255" s="2" t="s">
        <v>20</v>
      </c>
      <c r="E255" t="s">
        <v>75</v>
      </c>
      <c r="F255" s="2" t="s">
        <v>142</v>
      </c>
      <c r="G255" s="2" t="s">
        <v>348</v>
      </c>
      <c r="H255" s="2" t="s">
        <v>137</v>
      </c>
      <c r="I255" s="2" t="s">
        <v>46</v>
      </c>
      <c r="J255" s="2" t="s">
        <v>719</v>
      </c>
      <c r="K255" s="2" t="s">
        <v>720</v>
      </c>
      <c r="L255" s="2" t="s">
        <v>46</v>
      </c>
      <c r="M255" s="2" t="s">
        <v>46</v>
      </c>
      <c r="N255" s="2" t="s">
        <v>46</v>
      </c>
      <c r="O255" s="2" t="s">
        <v>46</v>
      </c>
      <c r="P255" s="2" t="s">
        <v>46</v>
      </c>
      <c r="Q255" s="2" t="s">
        <v>31</v>
      </c>
      <c r="R255" s="2" t="s">
        <v>32</v>
      </c>
      <c r="S255" s="2" t="s">
        <v>33</v>
      </c>
    </row>
    <row r="256" spans="1:19">
      <c r="A256" t="str">
        <f>HYPERLINK("https://www.onsemi.com/PowerSolutions/product.do?id=SGF5N150UF","SGF5N150UF")</f>
        <v>SGF5N150UF</v>
      </c>
      <c r="B256" t="str">
        <f>HYPERLINK("https://www.onsemi.com/pub/Collateral/SGF5N150UF-D.pdf","SGF5N150UF/D (410kB)")</f>
        <v>SGF5N150UF/D (410kB)</v>
      </c>
      <c r="C256" t="s">
        <v>721</v>
      </c>
      <c r="D256" s="2" t="s">
        <v>20</v>
      </c>
      <c r="E256" t="s">
        <v>75</v>
      </c>
      <c r="F256" s="2" t="s">
        <v>273</v>
      </c>
      <c r="G256" s="2" t="s">
        <v>333</v>
      </c>
      <c r="H256" s="2" t="s">
        <v>722</v>
      </c>
      <c r="I256" s="2" t="s">
        <v>46</v>
      </c>
      <c r="J256" s="2" t="s">
        <v>723</v>
      </c>
      <c r="K256" s="2" t="s">
        <v>724</v>
      </c>
      <c r="L256" s="2" t="s">
        <v>46</v>
      </c>
      <c r="M256" s="2" t="s">
        <v>46</v>
      </c>
      <c r="N256" s="2" t="s">
        <v>35</v>
      </c>
      <c r="O256" s="2" t="s">
        <v>46</v>
      </c>
      <c r="P256" s="2" t="s">
        <v>46</v>
      </c>
      <c r="Q256" s="2" t="s">
        <v>725</v>
      </c>
      <c r="R256" s="2" t="s">
        <v>32</v>
      </c>
      <c r="S256" s="2" t="s">
        <v>33</v>
      </c>
    </row>
    <row r="257" spans="1:19">
      <c r="A257" t="str">
        <f>HYPERLINK("https://www.onsemi.com/PowerSolutions/product.do?id=SGH40N60UF","SGH40N60UF")</f>
        <v>SGH40N60UF</v>
      </c>
      <c r="B257" t="str">
        <f>HYPERLINK("https://www.onsemi.com/pub/Collateral/SGH40N60UF-D.pdf","SGH40N60UF/D (744kB)")</f>
        <v>SGH40N60UF/D (744kB)</v>
      </c>
      <c r="C257" t="s">
        <v>253</v>
      </c>
      <c r="D257" s="2" t="s">
        <v>20</v>
      </c>
      <c r="E257" t="s">
        <v>75</v>
      </c>
      <c r="F257" s="2" t="s">
        <v>142</v>
      </c>
      <c r="G257" s="2" t="s">
        <v>23</v>
      </c>
      <c r="H257" s="2" t="s">
        <v>137</v>
      </c>
      <c r="I257" s="2" t="s">
        <v>46</v>
      </c>
      <c r="J257" s="2" t="s">
        <v>27</v>
      </c>
      <c r="K257" s="2" t="s">
        <v>77</v>
      </c>
      <c r="L257" s="2" t="s">
        <v>46</v>
      </c>
      <c r="M257" s="2" t="s">
        <v>46</v>
      </c>
      <c r="N257" s="2" t="s">
        <v>726</v>
      </c>
      <c r="O257" s="2" t="s">
        <v>46</v>
      </c>
      <c r="P257" s="2" t="s">
        <v>46</v>
      </c>
      <c r="Q257" s="2" t="s">
        <v>593</v>
      </c>
      <c r="R257" s="2" t="s">
        <v>32</v>
      </c>
      <c r="S257" s="2" t="s">
        <v>103</v>
      </c>
    </row>
    <row r="258" spans="1:19">
      <c r="A258" t="str">
        <f>HYPERLINK("https://www.onsemi.com/PowerSolutions/product.do?id=SGL50N60RUFD","SGL50N60RUFD")</f>
        <v>SGL50N60RUFD</v>
      </c>
      <c r="B258" t="str">
        <f>HYPERLINK("https://www.onsemi.com/pub/Collateral/SGL50N60RUFD-D.pdf","SGL50N60RUFD/D (463kB)")</f>
        <v>SGL50N60RUFD/D (463kB)</v>
      </c>
      <c r="C258" t="s">
        <v>727</v>
      </c>
      <c r="D258" s="2" t="s">
        <v>20</v>
      </c>
      <c r="E258" t="s">
        <v>75</v>
      </c>
      <c r="F258" s="2" t="s">
        <v>142</v>
      </c>
      <c r="G258" s="2" t="s">
        <v>201</v>
      </c>
      <c r="H258" s="2" t="s">
        <v>168</v>
      </c>
      <c r="I258" s="2" t="s">
        <v>126</v>
      </c>
      <c r="J258" s="2" t="s">
        <v>728</v>
      </c>
      <c r="K258" s="2" t="s">
        <v>499</v>
      </c>
      <c r="L258" s="2" t="s">
        <v>729</v>
      </c>
      <c r="M258" s="2" t="s">
        <v>326</v>
      </c>
      <c r="N258" s="2" t="s">
        <v>730</v>
      </c>
      <c r="O258" s="2" t="s">
        <v>46</v>
      </c>
      <c r="P258" s="2" t="s">
        <v>46</v>
      </c>
      <c r="Q258" s="2" t="s">
        <v>123</v>
      </c>
      <c r="R258" s="2" t="s">
        <v>63</v>
      </c>
      <c r="S258" s="2" t="s">
        <v>497</v>
      </c>
    </row>
    <row r="259" spans="1:19">
      <c r="A259" t="str">
        <f>HYPERLINK("https://www.onsemi.com/PowerSolutions/product.do?id=SGP10N60RUFD","SGP10N60RUFD")</f>
        <v>SGP10N60RUFD</v>
      </c>
      <c r="B259" t="str">
        <f>HYPERLINK("https://www.onsemi.com/pub/Collateral/SGP10N60RUFD-D.pdf","SGP10N60RUFD/D (373kB)")</f>
        <v>SGP10N60RUFD/D (373kB)</v>
      </c>
      <c r="C259" t="s">
        <v>505</v>
      </c>
      <c r="D259" s="2" t="s">
        <v>20</v>
      </c>
      <c r="E259" t="s">
        <v>75</v>
      </c>
      <c r="F259" s="2" t="s">
        <v>142</v>
      </c>
      <c r="G259" s="2" t="s">
        <v>333</v>
      </c>
      <c r="H259" s="2" t="s">
        <v>168</v>
      </c>
      <c r="I259" s="2" t="s">
        <v>24</v>
      </c>
      <c r="J259" s="2" t="s">
        <v>731</v>
      </c>
      <c r="K259" s="2" t="s">
        <v>245</v>
      </c>
      <c r="L259" s="2" t="s">
        <v>211</v>
      </c>
      <c r="M259" s="2" t="s">
        <v>533</v>
      </c>
      <c r="N259" s="2" t="s">
        <v>35</v>
      </c>
      <c r="O259" s="2" t="s">
        <v>46</v>
      </c>
      <c r="P259" s="2" t="s">
        <v>46</v>
      </c>
      <c r="Q259" s="2" t="s">
        <v>31</v>
      </c>
      <c r="R259" s="2" t="s">
        <v>63</v>
      </c>
      <c r="S259" s="2" t="s">
        <v>511</v>
      </c>
    </row>
    <row r="260" spans="1:19">
      <c r="A260" t="str">
        <f>HYPERLINK("https://www.onsemi.com/PowerSolutions/product.do?id=SGP23N60UF","SGP23N60UF")</f>
        <v>SGP23N60UF</v>
      </c>
      <c r="B260" t="str">
        <f>HYPERLINK("https://www.onsemi.com/pub/Collateral/SGP23N60UF-D.pdf","SGP23N60UF/D (359kB)")</f>
        <v>SGP23N60UF/D (359kB)</v>
      </c>
      <c r="C260" t="s">
        <v>253</v>
      </c>
      <c r="D260" s="2" t="s">
        <v>20</v>
      </c>
      <c r="E260" t="s">
        <v>75</v>
      </c>
      <c r="F260" s="2" t="s">
        <v>142</v>
      </c>
      <c r="G260" s="2" t="s">
        <v>348</v>
      </c>
      <c r="H260" s="2" t="s">
        <v>137</v>
      </c>
      <c r="I260" s="2" t="s">
        <v>46</v>
      </c>
      <c r="J260" s="2" t="s">
        <v>719</v>
      </c>
      <c r="K260" s="2" t="s">
        <v>720</v>
      </c>
      <c r="L260" s="2" t="s">
        <v>46</v>
      </c>
      <c r="M260" s="2" t="s">
        <v>46</v>
      </c>
      <c r="N260" s="2" t="s">
        <v>46</v>
      </c>
      <c r="O260" s="2" t="s">
        <v>46</v>
      </c>
      <c r="P260" s="2" t="s">
        <v>46</v>
      </c>
      <c r="Q260" s="2" t="s">
        <v>257</v>
      </c>
      <c r="R260" s="2" t="s">
        <v>32</v>
      </c>
      <c r="S260" s="2" t="s">
        <v>511</v>
      </c>
    </row>
    <row r="261" spans="1:19">
      <c r="A261" t="str">
        <f>HYPERLINK("https://www.onsemi.com/PowerSolutions/product.do?id=SGS10N60RUFD","SGS10N60RUFD")</f>
        <v>SGS10N60RUFD</v>
      </c>
      <c r="B261" t="str">
        <f>HYPERLINK("https://www.onsemi.com/pub/Collateral/SGS10N60RUFD-D.pdf","SGS10N60RUFD/D (449kB)")</f>
        <v>SGS10N60RUFD/D (449kB)</v>
      </c>
      <c r="C261" t="s">
        <v>505</v>
      </c>
      <c r="D261" s="2" t="s">
        <v>20</v>
      </c>
      <c r="E261" t="s">
        <v>75</v>
      </c>
      <c r="F261" s="2" t="s">
        <v>142</v>
      </c>
      <c r="G261" s="2" t="s">
        <v>333</v>
      </c>
      <c r="H261" s="2" t="s">
        <v>168</v>
      </c>
      <c r="I261" s="2" t="s">
        <v>24</v>
      </c>
      <c r="J261" s="2" t="s">
        <v>731</v>
      </c>
      <c r="K261" s="2" t="s">
        <v>245</v>
      </c>
      <c r="L261" s="2" t="s">
        <v>211</v>
      </c>
      <c r="M261" s="2" t="s">
        <v>533</v>
      </c>
      <c r="N261" s="2" t="s">
        <v>35</v>
      </c>
      <c r="O261" s="2" t="s">
        <v>333</v>
      </c>
      <c r="P261" s="2" t="s">
        <v>46</v>
      </c>
      <c r="Q261" s="2" t="s">
        <v>442</v>
      </c>
      <c r="R261" s="2" t="s">
        <v>63</v>
      </c>
      <c r="S261" s="2" t="s">
        <v>522</v>
      </c>
    </row>
    <row r="262" spans="1:19">
      <c r="A262" t="str">
        <f>HYPERLINK("https://www.onsemi.com/PowerSolutions/product.do?id=TIG056BF","TIG056BF")</f>
        <v>TIG056BF</v>
      </c>
      <c r="B262" t="str">
        <f>HYPERLINK("https://www.onsemi.com/pub/Collateral/TIG056BF-D.PDF","TIG056BF/D (217.0kB)")</f>
        <v>TIG056BF/D (217.0kB)</v>
      </c>
      <c r="C262" t="s">
        <v>732</v>
      </c>
      <c r="D262" s="2" t="s">
        <v>20</v>
      </c>
      <c r="E262" t="s">
        <v>75</v>
      </c>
      <c r="F262" s="2" t="s">
        <v>270</v>
      </c>
      <c r="G262" s="2" t="s">
        <v>532</v>
      </c>
      <c r="H262" s="2" t="s">
        <v>180</v>
      </c>
      <c r="I262" s="2" t="s">
        <v>46</v>
      </c>
      <c r="J262" s="2" t="s">
        <v>46</v>
      </c>
      <c r="K262" s="2" t="s">
        <v>46</v>
      </c>
      <c r="L262" s="2" t="s">
        <v>46</v>
      </c>
      <c r="M262" s="2" t="s">
        <v>46</v>
      </c>
      <c r="N262" s="2" t="s">
        <v>46</v>
      </c>
      <c r="O262" s="2" t="s">
        <v>46</v>
      </c>
      <c r="P262" s="2" t="s">
        <v>46</v>
      </c>
      <c r="Q262" s="2" t="s">
        <v>35</v>
      </c>
      <c r="R262" s="2" t="s">
        <v>32</v>
      </c>
      <c r="S262" s="2" t="s">
        <v>522</v>
      </c>
    </row>
    <row r="263" spans="1:19" ht="25.5">
      <c r="A263" t="str">
        <f>HYPERLINK("https://www.onsemi.com/PowerSolutions/product.do?id=TIG058E8","TIG058E8")</f>
        <v>TIG058E8</v>
      </c>
      <c r="B263" t="str">
        <f>HYPERLINK("https://www.onsemi.com/pub/Collateral/TIG058E8-D.PDF","TIG058E8/D (374.0kB)")</f>
        <v>TIG058E8/D (374.0kB)</v>
      </c>
      <c r="C263" t="s">
        <v>733</v>
      </c>
      <c r="D263" s="2" t="s">
        <v>51</v>
      </c>
      <c r="E263" t="s">
        <v>75</v>
      </c>
      <c r="F263" s="2" t="s">
        <v>67</v>
      </c>
      <c r="G263" s="2" t="s">
        <v>48</v>
      </c>
      <c r="H263" s="2" t="s">
        <v>734</v>
      </c>
      <c r="I263" s="2" t="s">
        <v>46</v>
      </c>
      <c r="J263" s="2" t="s">
        <v>46</v>
      </c>
      <c r="K263" s="2" t="s">
        <v>46</v>
      </c>
      <c r="L263" s="2" t="s">
        <v>46</v>
      </c>
      <c r="M263" s="2" t="s">
        <v>46</v>
      </c>
      <c r="N263" s="2" t="s">
        <v>46</v>
      </c>
      <c r="O263" s="2" t="s">
        <v>46</v>
      </c>
      <c r="P263" s="2" t="s">
        <v>46</v>
      </c>
      <c r="Q263" s="2" t="s">
        <v>46</v>
      </c>
      <c r="R263" s="2" t="s">
        <v>32</v>
      </c>
      <c r="S263" s="2" t="s">
        <v>735</v>
      </c>
    </row>
    <row r="264" spans="1:19" ht="25.5">
      <c r="A264" t="str">
        <f>HYPERLINK("https://www.onsemi.com/PowerSolutions/product.do?id=TIG065E8","TIG065E8")</f>
        <v>TIG065E8</v>
      </c>
      <c r="B264" t="str">
        <f>HYPERLINK("https://www.onsemi.com/pub/Collateral/ENA1862-D.PDF","ENA1862/D (479.0kB)")</f>
        <v>ENA1862/D (479.0kB)</v>
      </c>
      <c r="C264" t="s">
        <v>736</v>
      </c>
      <c r="D264" s="2" t="s">
        <v>51</v>
      </c>
      <c r="E264" t="s">
        <v>75</v>
      </c>
      <c r="F264" s="2" t="s">
        <v>67</v>
      </c>
      <c r="G264" s="2" t="s">
        <v>48</v>
      </c>
      <c r="H264" s="2" t="s">
        <v>737</v>
      </c>
      <c r="I264" s="2" t="s">
        <v>46</v>
      </c>
      <c r="J264" s="2" t="s">
        <v>46</v>
      </c>
      <c r="K264" s="2" t="s">
        <v>46</v>
      </c>
      <c r="L264" s="2" t="s">
        <v>46</v>
      </c>
      <c r="M264" s="2" t="s">
        <v>46</v>
      </c>
      <c r="N264" s="2" t="s">
        <v>46</v>
      </c>
      <c r="O264" s="2" t="s">
        <v>46</v>
      </c>
      <c r="P264" s="2" t="s">
        <v>46</v>
      </c>
      <c r="Q264" s="2" t="s">
        <v>46</v>
      </c>
      <c r="R264" s="2" t="s">
        <v>32</v>
      </c>
      <c r="S264" s="2" t="s">
        <v>735</v>
      </c>
    </row>
    <row r="265" spans="1:19" ht="25.5">
      <c r="A265" t="str">
        <f>HYPERLINK("https://www.onsemi.com/PowerSolutions/product.do?id=TIG067SS","TIG067SS")</f>
        <v>TIG067SS</v>
      </c>
      <c r="B265" t="str">
        <f>HYPERLINK("https://www.onsemi.com/pub/Collateral/TIG067SS-D.PDF","TIG067SS/D (1192kB)")</f>
        <v>TIG067SS/D (1192kB)</v>
      </c>
      <c r="C265" t="s">
        <v>738</v>
      </c>
      <c r="D265" s="2" t="s">
        <v>51</v>
      </c>
      <c r="E265" t="s">
        <v>75</v>
      </c>
      <c r="F265" s="2" t="s">
        <v>67</v>
      </c>
      <c r="G265" s="2" t="s">
        <v>48</v>
      </c>
      <c r="H265" s="2" t="s">
        <v>403</v>
      </c>
      <c r="I265" s="2" t="s">
        <v>46</v>
      </c>
      <c r="J265" s="2" t="s">
        <v>46</v>
      </c>
      <c r="K265" s="2" t="s">
        <v>46</v>
      </c>
      <c r="L265" s="2" t="s">
        <v>46</v>
      </c>
      <c r="M265" s="2" t="s">
        <v>46</v>
      </c>
      <c r="N265" s="2" t="s">
        <v>46</v>
      </c>
      <c r="O265" s="2" t="s">
        <v>46</v>
      </c>
      <c r="P265" s="2" t="s">
        <v>46</v>
      </c>
      <c r="Q265" s="2" t="s">
        <v>207</v>
      </c>
      <c r="R265" s="2" t="s">
        <v>32</v>
      </c>
      <c r="S265" s="2" t="s">
        <v>739</v>
      </c>
    </row>
    <row r="266" spans="1:19" ht="25.5">
      <c r="A266" t="str">
        <f>HYPERLINK("https://www.onsemi.com/PowerSolutions/product.do?id=TIG074E8","TIG074E8")</f>
        <v>TIG074E8</v>
      </c>
      <c r="B266" t="str">
        <f>HYPERLINK("https://www.onsemi.com/pub/Collateral/ENA2209-D.PDF","ENA2209/D (322.0kB)")</f>
        <v>ENA2209/D (322.0kB)</v>
      </c>
      <c r="C266" t="s">
        <v>740</v>
      </c>
      <c r="D266" s="2" t="s">
        <v>51</v>
      </c>
      <c r="E266" t="s">
        <v>75</v>
      </c>
      <c r="F266" s="2" t="s">
        <v>67</v>
      </c>
      <c r="G266" s="2" t="s">
        <v>48</v>
      </c>
      <c r="H266" s="2" t="s">
        <v>403</v>
      </c>
      <c r="I266" s="2" t="s">
        <v>46</v>
      </c>
      <c r="J266" s="2" t="s">
        <v>46</v>
      </c>
      <c r="K266" s="2" t="s">
        <v>46</v>
      </c>
      <c r="L266" s="2" t="s">
        <v>46</v>
      </c>
      <c r="M266" s="2" t="s">
        <v>46</v>
      </c>
      <c r="N266" s="2" t="s">
        <v>46</v>
      </c>
      <c r="O266" s="2" t="s">
        <v>46</v>
      </c>
      <c r="P266" s="2" t="s">
        <v>46</v>
      </c>
      <c r="Q266" s="2" t="s">
        <v>46</v>
      </c>
      <c r="R266" s="2" t="s">
        <v>32</v>
      </c>
      <c r="S266" s="2" t="s">
        <v>735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IGBTs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杨慧恒</dc:creator>
  <cp:lastModifiedBy>zlgmcu1</cp:lastModifiedBy>
  <dcterms:created xsi:type="dcterms:W3CDTF">2020-08-24T10:59:47Z</dcterms:created>
  <dcterms:modified xsi:type="dcterms:W3CDTF">2020-08-24T10:59:47Z</dcterms:modified>
</cp:coreProperties>
</file>