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70" windowWidth="14940" windowHeight="9150"/>
  </bookViews>
  <sheets>
    <sheet name="Controllers" sheetId="1" r:id="rId1"/>
  </sheets>
  <calcPr calcId="152511"/>
</workbook>
</file>

<file path=xl/calcChain.xml><?xml version="1.0" encoding="utf-8"?>
<calcChain xmlns="http://schemas.openxmlformats.org/spreadsheetml/2006/main">
  <c r="C333" i="1"/>
  <c r="B333"/>
  <c r="C332"/>
  <c r="B332"/>
  <c r="C331"/>
  <c r="B331"/>
  <c r="C330"/>
  <c r="B330"/>
  <c r="C329"/>
  <c r="B329"/>
  <c r="C328"/>
  <c r="B328"/>
  <c r="C327"/>
  <c r="B327"/>
  <c r="C326"/>
  <c r="B326"/>
  <c r="C325"/>
  <c r="B325"/>
  <c r="C324"/>
  <c r="B324"/>
  <c r="C323"/>
  <c r="B323"/>
  <c r="C322"/>
  <c r="B322"/>
  <c r="C321"/>
  <c r="B321"/>
  <c r="C320"/>
  <c r="B320"/>
  <c r="C319"/>
  <c r="B319"/>
  <c r="C318"/>
  <c r="B318"/>
  <c r="C317"/>
  <c r="B317"/>
  <c r="C316"/>
  <c r="B316"/>
  <c r="C315"/>
  <c r="B315"/>
  <c r="C314"/>
  <c r="B314"/>
  <c r="C313"/>
  <c r="B313"/>
  <c r="C312"/>
  <c r="B312"/>
  <c r="C311"/>
  <c r="B311"/>
  <c r="C310"/>
  <c r="B310"/>
  <c r="C309"/>
  <c r="B309"/>
  <c r="C308"/>
  <c r="B308"/>
  <c r="C307"/>
  <c r="B307"/>
  <c r="C306"/>
  <c r="B306"/>
  <c r="C305"/>
  <c r="B305"/>
  <c r="C304"/>
  <c r="B304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C268"/>
  <c r="B268"/>
  <c r="C267"/>
  <c r="B267"/>
  <c r="C266"/>
  <c r="B266"/>
  <c r="C265"/>
  <c r="B265"/>
  <c r="C264"/>
  <c r="B264"/>
  <c r="C263"/>
  <c r="B263"/>
  <c r="C262"/>
  <c r="B262"/>
  <c r="C261"/>
  <c r="B261"/>
  <c r="C260"/>
  <c r="B260"/>
  <c r="C259"/>
  <c r="B259"/>
  <c r="C258"/>
  <c r="B258"/>
  <c r="C257"/>
  <c r="B257"/>
  <c r="C256"/>
  <c r="B256"/>
  <c r="C255"/>
  <c r="B255"/>
  <c r="C254"/>
  <c r="B254"/>
  <c r="C253"/>
  <c r="B253"/>
  <c r="C252"/>
  <c r="B252"/>
  <c r="C251"/>
  <c r="B251"/>
  <c r="C250"/>
  <c r="B250"/>
  <c r="C249"/>
  <c r="B249"/>
  <c r="C248"/>
  <c r="B248"/>
  <c r="C247"/>
  <c r="B247"/>
  <c r="C246"/>
  <c r="B246"/>
  <c r="C245"/>
  <c r="B245"/>
  <c r="C244"/>
  <c r="B244"/>
  <c r="C243"/>
  <c r="B243"/>
  <c r="C242"/>
  <c r="B242"/>
  <c r="C241"/>
  <c r="B241"/>
  <c r="C240"/>
  <c r="B240"/>
  <c r="C239"/>
  <c r="B239"/>
  <c r="C238"/>
  <c r="B238"/>
  <c r="C237"/>
  <c r="B237"/>
  <c r="C236"/>
  <c r="B236"/>
  <c r="C235"/>
  <c r="B235"/>
  <c r="C234"/>
  <c r="B234"/>
  <c r="C233"/>
  <c r="B233"/>
  <c r="C232"/>
  <c r="B232"/>
  <c r="C231"/>
  <c r="B231"/>
  <c r="C230"/>
  <c r="B230"/>
  <c r="C229"/>
  <c r="B229"/>
  <c r="C228"/>
  <c r="B228"/>
  <c r="C227"/>
  <c r="B227"/>
  <c r="C226"/>
  <c r="B226"/>
  <c r="C225"/>
  <c r="B225"/>
  <c r="C224"/>
  <c r="B224"/>
  <c r="C223"/>
  <c r="B223"/>
  <c r="C222"/>
  <c r="B222"/>
  <c r="C221"/>
  <c r="B221"/>
  <c r="C220"/>
  <c r="B220"/>
  <c r="C219"/>
  <c r="B219"/>
  <c r="C218"/>
  <c r="B218"/>
  <c r="C217"/>
  <c r="B217"/>
  <c r="C216"/>
  <c r="B216"/>
  <c r="C215"/>
  <c r="B215"/>
  <c r="C214"/>
  <c r="B214"/>
  <c r="C213"/>
  <c r="B213"/>
  <c r="C212"/>
  <c r="B212"/>
  <c r="C211"/>
  <c r="B211"/>
  <c r="C210"/>
  <c r="B210"/>
  <c r="C209"/>
  <c r="B209"/>
  <c r="C208"/>
  <c r="B208"/>
  <c r="C207"/>
  <c r="B207"/>
  <c r="C206"/>
  <c r="B206"/>
  <c r="C205"/>
  <c r="B205"/>
  <c r="C204"/>
  <c r="B204"/>
  <c r="C203"/>
  <c r="B203"/>
  <c r="C202"/>
  <c r="B202"/>
  <c r="C201"/>
  <c r="B201"/>
  <c r="C200"/>
  <c r="B200"/>
  <c r="C199"/>
  <c r="B199"/>
  <c r="C198"/>
  <c r="B198"/>
  <c r="C197"/>
  <c r="B197"/>
  <c r="C196"/>
  <c r="B196"/>
  <c r="C195"/>
  <c r="B195"/>
  <c r="C194"/>
  <c r="B194"/>
  <c r="C193"/>
  <c r="B193"/>
  <c r="C192"/>
  <c r="B192"/>
  <c r="C191"/>
  <c r="B191"/>
  <c r="C190"/>
  <c r="B190"/>
  <c r="C189"/>
  <c r="B189"/>
  <c r="C188"/>
  <c r="B188"/>
  <c r="C187"/>
  <c r="B187"/>
  <c r="C186"/>
  <c r="B186"/>
  <c r="C185"/>
  <c r="B185"/>
  <c r="C184"/>
  <c r="B184"/>
  <c r="C183"/>
  <c r="B183"/>
  <c r="C182"/>
  <c r="B182"/>
  <c r="C181"/>
  <c r="B181"/>
  <c r="C180"/>
  <c r="B180"/>
  <c r="C179"/>
  <c r="B179"/>
  <c r="C178"/>
  <c r="B178"/>
  <c r="C177"/>
  <c r="B177"/>
  <c r="C176"/>
  <c r="B176"/>
  <c r="C175"/>
  <c r="B175"/>
  <c r="C174"/>
  <c r="B174"/>
  <c r="C173"/>
  <c r="B173"/>
  <c r="C172"/>
  <c r="B172"/>
  <c r="C171"/>
  <c r="B171"/>
  <c r="C170"/>
  <c r="B170"/>
  <c r="C169"/>
  <c r="B169"/>
  <c r="C168"/>
  <c r="B168"/>
  <c r="C167"/>
  <c r="B167"/>
  <c r="C166"/>
  <c r="B166"/>
  <c r="C165"/>
  <c r="B165"/>
  <c r="C164"/>
  <c r="B164"/>
  <c r="C163"/>
  <c r="B163"/>
  <c r="C162"/>
  <c r="B162"/>
  <c r="C161"/>
  <c r="B161"/>
  <c r="C160"/>
  <c r="B160"/>
  <c r="C159"/>
  <c r="B159"/>
  <c r="C158"/>
  <c r="B158"/>
  <c r="C157"/>
  <c r="B157"/>
  <c r="C156"/>
  <c r="B156"/>
  <c r="C155"/>
  <c r="B155"/>
  <c r="C154"/>
  <c r="B154"/>
  <c r="C153"/>
  <c r="B153"/>
  <c r="C152"/>
  <c r="B152"/>
  <c r="C151"/>
  <c r="B151"/>
  <c r="C150"/>
  <c r="B150"/>
  <c r="C149"/>
  <c r="B149"/>
  <c r="C148"/>
  <c r="B148"/>
  <c r="C147"/>
  <c r="B147"/>
  <c r="C146"/>
  <c r="B146"/>
  <c r="C145"/>
  <c r="B145"/>
  <c r="C144"/>
  <c r="B144"/>
  <c r="C143"/>
  <c r="B143"/>
  <c r="C142"/>
  <c r="B142"/>
  <c r="B141"/>
  <c r="C140"/>
  <c r="B140"/>
  <c r="C139"/>
  <c r="B139"/>
  <c r="C138"/>
  <c r="B138"/>
  <c r="C137"/>
  <c r="B137"/>
  <c r="B136"/>
  <c r="B2"/>
  <c r="C2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B84"/>
  <c r="B85"/>
  <c r="C85"/>
  <c r="B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</calcChain>
</file>

<file path=xl/comments1.xml><?xml version="1.0" encoding="utf-8"?>
<comments xmlns="http://schemas.openxmlformats.org/spreadsheetml/2006/main">
  <authors>
    <author/>
  </authors>
  <commentList>
    <comment ref="K6" authorId="0">
      <text>
        <r>
          <rPr>
            <sz val="10"/>
            <rFont val="Arial"/>
            <family val="2"/>
          </rPr>
          <t>72V with bias</t>
        </r>
      </text>
    </comment>
    <comment ref="O41" authorId="0">
      <text>
        <r>
          <rPr>
            <sz val="10"/>
            <rFont val="Arial"/>
            <family val="2"/>
          </rPr>
          <t>typ at RT=470kohm
Variable</t>
        </r>
      </text>
    </comment>
    <comment ref="O42" authorId="0">
      <text>
        <r>
          <rPr>
            <sz val="10"/>
            <rFont val="Arial"/>
            <family val="2"/>
          </rPr>
          <t>typ at RT=56kohm
Variable</t>
        </r>
      </text>
    </comment>
    <comment ref="O43" authorId="0">
      <text>
        <r>
          <rPr>
            <sz val="10"/>
            <rFont val="Arial"/>
            <family val="2"/>
          </rPr>
          <t>typ at RT=220kohm,Variable</t>
        </r>
      </text>
    </comment>
    <comment ref="O45" authorId="0">
      <text>
        <r>
          <rPr>
            <sz val="10"/>
            <rFont val="Arial"/>
            <family val="2"/>
          </rPr>
          <t>typ at RT=220kohm
Variable</t>
        </r>
      </text>
    </comment>
    <comment ref="K60" authorId="0">
      <text>
        <r>
          <rPr>
            <sz val="10"/>
            <rFont val="Arial"/>
            <family val="2"/>
          </rPr>
          <t>w/ bias</t>
        </r>
      </text>
    </comment>
    <comment ref="G63" authorId="0">
      <text>
        <r>
          <rPr>
            <sz val="10"/>
            <rFont val="Arial"/>
            <family val="2"/>
          </rPr>
          <t>Active Clamp Controller</t>
        </r>
      </text>
    </comment>
    <comment ref="O63" authorId="0">
      <text>
        <r>
          <rPr>
            <sz val="10"/>
            <rFont val="Arial"/>
            <family val="2"/>
          </rPr>
          <t>With synchronization  capability</t>
        </r>
      </text>
    </comment>
    <comment ref="K71" authorId="0">
      <text>
        <r>
          <rPr>
            <sz val="10"/>
            <rFont val="Arial"/>
            <family val="2"/>
          </rPr>
          <t>28V max
28V max
28V max
28V max
28V max
28V max
28V max</t>
        </r>
      </text>
    </comment>
    <comment ref="O72" authorId="0">
      <text>
        <r>
          <rPr>
            <sz val="10"/>
            <rFont val="Arial"/>
            <family val="2"/>
          </rPr>
          <t>75kHz fixed</t>
        </r>
      </text>
    </comment>
    <comment ref="H99" authorId="0">
      <text>
        <r>
          <rPr>
            <sz val="10"/>
            <rFont val="Arial"/>
            <family val="2"/>
          </rPr>
          <t>1/2/3/4/6</t>
        </r>
      </text>
    </comment>
    <comment ref="G101" authorId="0">
      <text>
        <r>
          <rPr>
            <sz val="10"/>
            <rFont val="Arial"/>
            <family val="2"/>
          </rPr>
          <t>4 switch buck boost</t>
        </r>
      </text>
    </comment>
    <comment ref="H103" authorId="0">
      <text>
        <r>
          <rPr>
            <sz val="10"/>
            <rFont val="Arial"/>
            <family val="2"/>
          </rPr>
          <t>3/2/1 + 1</t>
        </r>
      </text>
    </comment>
    <comment ref="H104" authorId="0">
      <text>
        <r>
          <rPr>
            <sz val="10"/>
            <rFont val="Arial"/>
            <family val="2"/>
          </rPr>
          <t>3/2/1 +3/2/1 +1, 4/3/2/1+2/1+1</t>
        </r>
      </text>
    </comment>
    <comment ref="H105" authorId="0">
      <text>
        <r>
          <rPr>
            <sz val="10"/>
            <rFont val="Arial"/>
            <family val="2"/>
          </rPr>
          <t>2+1+1, 1+2+1, 1+1+1</t>
        </r>
      </text>
    </comment>
    <comment ref="J120" authorId="0">
      <text>
        <r>
          <rPr>
            <sz val="10"/>
            <rFont val="Arial"/>
            <family val="2"/>
          </rPr>
          <t>Decreasing Input Voltage</t>
        </r>
      </text>
    </comment>
    <comment ref="K120" authorId="0">
      <text>
        <r>
          <rPr>
            <sz val="10"/>
            <rFont val="Arial"/>
            <family val="2"/>
          </rPr>
          <t>Shuts down at 38 V (Typical)</t>
        </r>
      </text>
    </comment>
    <comment ref="O122" authorId="0">
      <text>
        <r>
          <rPr>
            <sz val="10"/>
            <rFont val="Arial"/>
            <family val="2"/>
          </rPr>
          <t>170-500</t>
        </r>
      </text>
    </comment>
    <comment ref="G126" authorId="0">
      <text>
        <r>
          <rPr>
            <sz val="10"/>
            <rFont val="Arial"/>
            <family val="2"/>
          </rPr>
          <t>(Non-Inverting)</t>
        </r>
      </text>
    </comment>
    <comment ref="J127" authorId="0">
      <text>
        <r>
          <rPr>
            <sz val="10"/>
            <rFont val="Arial"/>
            <family val="2"/>
          </rPr>
          <t>Descending voltage</t>
        </r>
      </text>
    </comment>
    <comment ref="J129" authorId="0">
      <text>
        <r>
          <rPr>
            <sz val="10"/>
            <rFont val="Arial"/>
            <family val="2"/>
          </rPr>
          <t>VOUT Falling</t>
        </r>
      </text>
    </comment>
    <comment ref="J130" authorId="0">
      <text>
        <r>
          <rPr>
            <sz val="10"/>
            <rFont val="Arial"/>
            <family val="2"/>
          </rPr>
          <t>Decreasing Input Voltage</t>
        </r>
      </text>
    </comment>
    <comment ref="K130" authorId="0">
      <text>
        <r>
          <rPr>
            <sz val="10"/>
            <rFont val="Arial"/>
            <family val="2"/>
          </rPr>
          <t>Shuts down at 38 V (Typical)</t>
        </r>
      </text>
    </comment>
    <comment ref="K132" authorId="0">
      <text>
        <r>
          <rPr>
            <sz val="10"/>
            <rFont val="Arial"/>
            <family val="2"/>
          </rPr>
          <t>Load Dump</t>
        </r>
      </text>
    </comment>
    <comment ref="M138" authorId="0">
      <text>
        <r>
          <rPr>
            <sz val="10"/>
            <rFont val="Arial"/>
            <family val="2"/>
          </rPr>
          <t>on 3.3V output
on 3.3V output
on 5 V output
on 5V output</t>
        </r>
      </text>
    </comment>
    <comment ref="M140" authorId="0">
      <text>
        <r>
          <rPr>
            <sz val="10"/>
            <rFont val="Arial"/>
            <family val="2"/>
          </rPr>
          <t>for adj low voltage Bucks
for the primary 3.3V
for the 5V boost</t>
        </r>
      </text>
    </comment>
    <comment ref="L141" authorId="0">
      <text>
        <r>
          <rPr>
            <sz val="10"/>
            <rFont val="Arial"/>
            <family val="2"/>
          </rPr>
          <t>1.0V to 1.39375V</t>
        </r>
      </text>
    </comment>
    <comment ref="L147" authorId="0">
      <text>
        <r>
          <rPr>
            <sz val="10"/>
            <rFont val="Arial"/>
            <family val="2"/>
          </rPr>
          <t>0.8V to Vin</t>
        </r>
      </text>
    </comment>
    <comment ref="L148" authorId="0">
      <text>
        <r>
          <rPr>
            <sz val="10"/>
            <rFont val="Arial"/>
            <family val="2"/>
          </rPr>
          <t>0.8V to Vin</t>
        </r>
      </text>
    </comment>
    <comment ref="I149" authorId="0">
      <text>
        <r>
          <rPr>
            <sz val="10"/>
            <rFont val="Arial"/>
            <family val="2"/>
          </rPr>
          <t>Constant On Time</t>
        </r>
      </text>
    </comment>
    <comment ref="L149" authorId="0">
      <text>
        <r>
          <rPr>
            <sz val="10"/>
            <rFont val="Arial"/>
            <family val="2"/>
          </rPr>
          <t>0.6V to 12V</t>
        </r>
      </text>
    </comment>
    <comment ref="O149" authorId="0">
      <text>
        <r>
          <rPr>
            <sz val="10"/>
            <rFont val="Arial"/>
            <family val="2"/>
          </rPr>
          <t>200kHz to 1.5MHz</t>
        </r>
      </text>
    </comment>
    <comment ref="I150" authorId="0">
      <text>
        <r>
          <rPr>
            <sz val="10"/>
            <rFont val="Arial"/>
            <family val="2"/>
          </rPr>
          <t>Constant On Time</t>
        </r>
      </text>
    </comment>
    <comment ref="L150" authorId="0">
      <text>
        <r>
          <rPr>
            <sz val="10"/>
            <rFont val="Arial"/>
            <family val="2"/>
          </rPr>
          <t>0.6V to 12V</t>
        </r>
      </text>
    </comment>
    <comment ref="O150" authorId="0">
      <text>
        <r>
          <rPr>
            <sz val="10"/>
            <rFont val="Arial"/>
            <family val="2"/>
          </rPr>
          <t>200kHz to 1.5MHz</t>
        </r>
      </text>
    </comment>
    <comment ref="I151" authorId="0">
      <text>
        <r>
          <rPr>
            <sz val="10"/>
            <rFont val="Arial"/>
            <family val="2"/>
          </rPr>
          <t>Constant On Time</t>
        </r>
      </text>
    </comment>
    <comment ref="L151" authorId="0">
      <text>
        <r>
          <rPr>
            <sz val="10"/>
            <rFont val="Arial"/>
            <family val="2"/>
          </rPr>
          <t>0.6V to 12V</t>
        </r>
      </text>
    </comment>
    <comment ref="O151" authorId="0">
      <text>
        <r>
          <rPr>
            <sz val="10"/>
            <rFont val="Arial"/>
            <family val="2"/>
          </rPr>
          <t>200kHz to 1.5MHz</t>
        </r>
      </text>
    </comment>
    <comment ref="I152" authorId="0">
      <text>
        <r>
          <rPr>
            <sz val="10"/>
            <rFont val="Arial"/>
            <family val="2"/>
          </rPr>
          <t>Constant On Time</t>
        </r>
      </text>
    </comment>
    <comment ref="L152" authorId="0">
      <text>
        <r>
          <rPr>
            <sz val="10"/>
            <rFont val="Arial"/>
            <family val="2"/>
          </rPr>
          <t>0.6V to 12V</t>
        </r>
      </text>
    </comment>
    <comment ref="O152" authorId="0">
      <text>
        <r>
          <rPr>
            <sz val="10"/>
            <rFont val="Arial"/>
            <family val="2"/>
          </rPr>
          <t>200kHz to 1.5MHz</t>
        </r>
      </text>
    </comment>
    <comment ref="I153" authorId="0">
      <text>
        <r>
          <rPr>
            <sz val="10"/>
            <rFont val="Arial"/>
            <family val="2"/>
          </rPr>
          <t>Constant On Time</t>
        </r>
      </text>
    </comment>
    <comment ref="L153" authorId="0">
      <text>
        <r>
          <rPr>
            <sz val="10"/>
            <rFont val="Arial"/>
            <family val="2"/>
          </rPr>
          <t>0.6V to 12V</t>
        </r>
      </text>
    </comment>
    <comment ref="O153" authorId="0">
      <text>
        <r>
          <rPr>
            <sz val="10"/>
            <rFont val="Arial"/>
            <family val="2"/>
          </rPr>
          <t>200kHz to 1.5MHz</t>
        </r>
      </text>
    </comment>
    <comment ref="I154" authorId="0">
      <text>
        <r>
          <rPr>
            <sz val="10"/>
            <rFont val="Arial"/>
            <family val="2"/>
          </rPr>
          <t>Constant On Time</t>
        </r>
      </text>
    </comment>
    <comment ref="L154" authorId="0">
      <text>
        <r>
          <rPr>
            <sz val="10"/>
            <rFont val="Arial"/>
            <family val="2"/>
          </rPr>
          <t>0.6V to 12V</t>
        </r>
      </text>
    </comment>
    <comment ref="O154" authorId="0">
      <text>
        <r>
          <rPr>
            <sz val="10"/>
            <rFont val="Arial"/>
            <family val="2"/>
          </rPr>
          <t>200kHz to 1.5MHz</t>
        </r>
      </text>
    </comment>
    <comment ref="I155" authorId="0">
      <text>
        <r>
          <rPr>
            <sz val="10"/>
            <rFont val="Arial"/>
            <family val="2"/>
          </rPr>
          <t>Constant On Time</t>
        </r>
      </text>
    </comment>
    <comment ref="L155" authorId="0">
      <text>
        <r>
          <rPr>
            <sz val="10"/>
            <rFont val="Arial"/>
            <family val="2"/>
          </rPr>
          <t>0.6V to 12V</t>
        </r>
      </text>
    </comment>
    <comment ref="O155" authorId="0">
      <text>
        <r>
          <rPr>
            <sz val="10"/>
            <rFont val="Arial"/>
            <family val="2"/>
          </rPr>
          <t>200kHz to 1MHz</t>
        </r>
      </text>
    </comment>
    <comment ref="I156" authorId="0">
      <text>
        <r>
          <rPr>
            <sz val="10"/>
            <rFont val="Arial"/>
            <family val="2"/>
          </rPr>
          <t>Constant On Time</t>
        </r>
      </text>
    </comment>
    <comment ref="J156" authorId="0">
      <text>
        <r>
          <rPr>
            <sz val="10"/>
            <rFont val="Arial"/>
            <family val="2"/>
          </rPr>
          <t>4.5V if Vcc is supplied externally</t>
        </r>
      </text>
    </comment>
    <comment ref="L156" authorId="0">
      <text>
        <r>
          <rPr>
            <sz val="10"/>
            <rFont val="Arial"/>
            <family val="2"/>
          </rPr>
          <t>0.6V to 12V</t>
        </r>
      </text>
    </comment>
    <comment ref="O156" authorId="0">
      <text>
        <r>
          <rPr>
            <sz val="10"/>
            <rFont val="Arial"/>
            <family val="2"/>
          </rPr>
          <t>200kHz to 1.5MHz</t>
        </r>
      </text>
    </comment>
    <comment ref="I157" authorId="0">
      <text>
        <r>
          <rPr>
            <sz val="10"/>
            <rFont val="Arial"/>
            <family val="2"/>
          </rPr>
          <t>Constant On Time</t>
        </r>
      </text>
    </comment>
    <comment ref="J157" authorId="0">
      <text>
        <r>
          <rPr>
            <sz val="10"/>
            <rFont val="Arial"/>
            <family val="2"/>
          </rPr>
          <t>4.5V if Vcc is supplied externally</t>
        </r>
      </text>
    </comment>
    <comment ref="L157" authorId="0">
      <text>
        <r>
          <rPr>
            <sz val="10"/>
            <rFont val="Arial"/>
            <family val="2"/>
          </rPr>
          <t>0.6V to 12V</t>
        </r>
      </text>
    </comment>
    <comment ref="O157" authorId="0">
      <text>
        <r>
          <rPr>
            <sz val="10"/>
            <rFont val="Arial"/>
            <family val="2"/>
          </rPr>
          <t>200kHz to 1.5MHz</t>
        </r>
      </text>
    </comment>
    <comment ref="I158" authorId="0">
      <text>
        <r>
          <rPr>
            <sz val="10"/>
            <rFont val="Arial"/>
            <family val="2"/>
          </rPr>
          <t>Constant On Time</t>
        </r>
      </text>
    </comment>
    <comment ref="J158" authorId="0">
      <text>
        <r>
          <rPr>
            <sz val="10"/>
            <rFont val="Arial"/>
            <family val="2"/>
          </rPr>
          <t>4.5V if Vcc is supplied externally</t>
        </r>
      </text>
    </comment>
    <comment ref="L158" authorId="0">
      <text>
        <r>
          <rPr>
            <sz val="10"/>
            <rFont val="Arial"/>
            <family val="2"/>
          </rPr>
          <t>0.6V to 12V</t>
        </r>
      </text>
    </comment>
    <comment ref="O158" authorId="0">
      <text>
        <r>
          <rPr>
            <sz val="10"/>
            <rFont val="Arial"/>
            <family val="2"/>
          </rPr>
          <t>200kHz to 1.5MHz</t>
        </r>
      </text>
    </comment>
    <comment ref="I159" authorId="0">
      <text>
        <r>
          <rPr>
            <sz val="10"/>
            <rFont val="Arial"/>
            <family val="2"/>
          </rPr>
          <t>Constant On Time</t>
        </r>
      </text>
    </comment>
    <comment ref="J159" authorId="0">
      <text>
        <r>
          <rPr>
            <sz val="10"/>
            <rFont val="Arial"/>
            <family val="2"/>
          </rPr>
          <t>4.5V if Vcc is supplied externally</t>
        </r>
      </text>
    </comment>
    <comment ref="L159" authorId="0">
      <text>
        <r>
          <rPr>
            <sz val="10"/>
            <rFont val="Arial"/>
            <family val="2"/>
          </rPr>
          <t>0.6V to 12V</t>
        </r>
      </text>
    </comment>
    <comment ref="O159" authorId="0">
      <text>
        <r>
          <rPr>
            <sz val="10"/>
            <rFont val="Arial"/>
            <family val="2"/>
          </rPr>
          <t>200kHz to 1.5MHz</t>
        </r>
      </text>
    </comment>
    <comment ref="I160" authorId="0">
      <text>
        <r>
          <rPr>
            <sz val="10"/>
            <rFont val="Arial"/>
            <family val="2"/>
          </rPr>
          <t>Constant On Time</t>
        </r>
      </text>
    </comment>
    <comment ref="J160" authorId="0">
      <text>
        <r>
          <rPr>
            <sz val="10"/>
            <rFont val="Arial"/>
            <family val="2"/>
          </rPr>
          <t>4.5V if Vcc is supplied externally</t>
        </r>
      </text>
    </comment>
    <comment ref="L160" authorId="0">
      <text>
        <r>
          <rPr>
            <sz val="10"/>
            <rFont val="Arial"/>
            <family val="2"/>
          </rPr>
          <t>0.6V to 12V</t>
        </r>
      </text>
    </comment>
    <comment ref="O160" authorId="0">
      <text>
        <r>
          <rPr>
            <sz val="10"/>
            <rFont val="Arial"/>
            <family val="2"/>
          </rPr>
          <t>200kHz to 1MHz</t>
        </r>
      </text>
    </comment>
    <comment ref="I161" authorId="0">
      <text>
        <r>
          <rPr>
            <sz val="10"/>
            <rFont val="Arial"/>
            <family val="2"/>
          </rPr>
          <t>Constant On Time</t>
        </r>
      </text>
    </comment>
    <comment ref="J161" authorId="0">
      <text>
        <r>
          <rPr>
            <sz val="10"/>
            <rFont val="Arial"/>
            <family val="2"/>
          </rPr>
          <t>4.5V if Vcc is supplied externally</t>
        </r>
      </text>
    </comment>
    <comment ref="L161" authorId="0">
      <text>
        <r>
          <rPr>
            <sz val="10"/>
            <rFont val="Arial"/>
            <family val="2"/>
          </rPr>
          <t>0.6V to 12V</t>
        </r>
      </text>
    </comment>
    <comment ref="O161" authorId="0">
      <text>
        <r>
          <rPr>
            <sz val="10"/>
            <rFont val="Arial"/>
            <family val="2"/>
          </rPr>
          <t>200kHz to 1MHz</t>
        </r>
      </text>
    </comment>
    <comment ref="I162" authorId="0">
      <text>
        <r>
          <rPr>
            <sz val="10"/>
            <rFont val="Arial"/>
            <family val="2"/>
          </rPr>
          <t>Constant On Time</t>
        </r>
      </text>
    </comment>
    <comment ref="J162" authorId="0">
      <text>
        <r>
          <rPr>
            <sz val="10"/>
            <rFont val="Arial"/>
            <family val="2"/>
          </rPr>
          <t>4.5V if Vcc is supplied externally</t>
        </r>
      </text>
    </comment>
    <comment ref="L162" authorId="0">
      <text>
        <r>
          <rPr>
            <sz val="10"/>
            <rFont val="Arial"/>
            <family val="2"/>
          </rPr>
          <t>0.6V to 12V</t>
        </r>
      </text>
    </comment>
    <comment ref="O162" authorId="0">
      <text>
        <r>
          <rPr>
            <sz val="10"/>
            <rFont val="Arial"/>
            <family val="2"/>
          </rPr>
          <t>200kHz to 1.5MHz</t>
        </r>
      </text>
    </comment>
    <comment ref="I163" authorId="0">
      <text>
        <r>
          <rPr>
            <sz val="10"/>
            <rFont val="Arial"/>
            <family val="2"/>
          </rPr>
          <t>Constant On Time</t>
        </r>
      </text>
    </comment>
    <comment ref="J163" authorId="0">
      <text>
        <r>
          <rPr>
            <sz val="10"/>
            <rFont val="Arial"/>
            <family val="2"/>
          </rPr>
          <t>4.5V if Vcc is supplied externally</t>
        </r>
      </text>
    </comment>
    <comment ref="L163" authorId="0">
      <text>
        <r>
          <rPr>
            <sz val="10"/>
            <rFont val="Arial"/>
            <family val="2"/>
          </rPr>
          <t>0.6V to 12V</t>
        </r>
      </text>
    </comment>
    <comment ref="O163" authorId="0">
      <text>
        <r>
          <rPr>
            <sz val="10"/>
            <rFont val="Arial"/>
            <family val="2"/>
          </rPr>
          <t>200kHz to 1.5MHz</t>
        </r>
      </text>
    </comment>
    <comment ref="I164" authorId="0">
      <text>
        <r>
          <rPr>
            <sz val="10"/>
            <rFont val="Arial"/>
            <family val="2"/>
          </rPr>
          <t>Constant On Time</t>
        </r>
      </text>
    </comment>
    <comment ref="J164" authorId="0">
      <text>
        <r>
          <rPr>
            <sz val="10"/>
            <rFont val="Arial"/>
            <family val="2"/>
          </rPr>
          <t>4.5V if Vcc is supplied externally</t>
        </r>
      </text>
    </comment>
    <comment ref="L164" authorId="0">
      <text>
        <r>
          <rPr>
            <sz val="10"/>
            <rFont val="Arial"/>
            <family val="2"/>
          </rPr>
          <t>0.6V to 12V</t>
        </r>
      </text>
    </comment>
    <comment ref="O164" authorId="0">
      <text>
        <r>
          <rPr>
            <sz val="10"/>
            <rFont val="Arial"/>
            <family val="2"/>
          </rPr>
          <t>200kHz to 1MHz</t>
        </r>
      </text>
    </comment>
    <comment ref="I165" authorId="0">
      <text>
        <r>
          <rPr>
            <sz val="10"/>
            <rFont val="Arial"/>
            <family val="2"/>
          </rPr>
          <t>Constant On Time</t>
        </r>
      </text>
    </comment>
    <comment ref="J165" authorId="0">
      <text>
        <r>
          <rPr>
            <sz val="10"/>
            <rFont val="Arial"/>
            <family val="2"/>
          </rPr>
          <t>4.5V if Vcc is supplied externally</t>
        </r>
      </text>
    </comment>
    <comment ref="L165" authorId="0">
      <text>
        <r>
          <rPr>
            <sz val="10"/>
            <rFont val="Arial"/>
            <family val="2"/>
          </rPr>
          <t>0.6V to 12V</t>
        </r>
      </text>
    </comment>
    <comment ref="O165" authorId="0">
      <text>
        <r>
          <rPr>
            <sz val="10"/>
            <rFont val="Arial"/>
            <family val="2"/>
          </rPr>
          <t>200kHz to 1MHz</t>
        </r>
      </text>
    </comment>
    <comment ref="L178" authorId="0">
      <text>
        <r>
          <rPr>
            <sz val="10"/>
            <rFont val="Arial"/>
            <family val="2"/>
          </rPr>
          <t>3.6V / 5.0V / 5.45V</t>
        </r>
      </text>
    </comment>
    <comment ref="N178" authorId="0">
      <text>
        <r>
          <rPr>
            <sz val="10"/>
            <rFont val="Arial"/>
            <family val="2"/>
          </rPr>
          <t>Vout=5.45V, Iout-500mA</t>
        </r>
      </text>
    </comment>
    <comment ref="L183" authorId="0">
      <text>
        <r>
          <rPr>
            <sz val="10"/>
            <rFont val="Arial"/>
            <family val="2"/>
          </rPr>
          <t>0.6V to 1.3875V</t>
        </r>
      </text>
    </comment>
    <comment ref="L184" authorId="0">
      <text>
        <r>
          <rPr>
            <sz val="10"/>
            <rFont val="Arial"/>
            <family val="2"/>
          </rPr>
          <t>2.7V to 20V</t>
        </r>
      </text>
    </comment>
    <comment ref="L185" authorId="0">
      <text>
        <r>
          <rPr>
            <sz val="10"/>
            <rFont val="Arial"/>
            <family val="2"/>
          </rPr>
          <t>1.8V to 30V</t>
        </r>
      </text>
    </comment>
    <comment ref="L186" authorId="0">
      <text>
        <r>
          <rPr>
            <sz val="10"/>
            <rFont val="Arial"/>
            <family val="2"/>
          </rPr>
          <t>1.8V to 30V</t>
        </r>
      </text>
    </comment>
    <comment ref="L188" authorId="0">
      <text>
        <r>
          <rPr>
            <sz val="10"/>
            <rFont val="Arial"/>
            <family val="2"/>
          </rPr>
          <t>0.6V to 1.39375V</t>
        </r>
      </text>
    </comment>
    <comment ref="L189" authorId="0">
      <text>
        <r>
          <rPr>
            <sz val="10"/>
            <rFont val="Arial"/>
            <family val="2"/>
          </rPr>
          <t>0.6V to 1.39375V</t>
        </r>
      </text>
    </comment>
    <comment ref="L190" authorId="0">
      <text>
        <r>
          <rPr>
            <sz val="10"/>
            <rFont val="Arial"/>
            <family val="2"/>
          </rPr>
          <t>0.35V to 1.14375V</t>
        </r>
      </text>
    </comment>
    <comment ref="L191" authorId="0">
      <text>
        <r>
          <rPr>
            <sz val="10"/>
            <rFont val="Arial"/>
            <family val="2"/>
          </rPr>
          <t>0.8V to 90% Vin</t>
        </r>
      </text>
    </comment>
    <comment ref="L192" authorId="0">
      <text>
        <r>
          <rPr>
            <sz val="10"/>
            <rFont val="Arial"/>
            <family val="2"/>
          </rPr>
          <t>0.8V to 90% Vin</t>
        </r>
      </text>
    </comment>
    <comment ref="L193" authorId="0">
      <text>
        <r>
          <rPr>
            <sz val="10"/>
            <rFont val="Arial"/>
            <family val="2"/>
          </rPr>
          <t>0.8V to 90% Vin</t>
        </r>
      </text>
    </comment>
    <comment ref="L194" authorId="0">
      <text>
        <r>
          <rPr>
            <sz val="10"/>
            <rFont val="Arial"/>
            <family val="2"/>
          </rPr>
          <t>0.75V to 1.5375</t>
        </r>
      </text>
    </comment>
    <comment ref="L195" authorId="0">
      <text>
        <r>
          <rPr>
            <sz val="10"/>
            <rFont val="Arial"/>
            <family val="2"/>
          </rPr>
          <t>0.6V to 1.23V</t>
        </r>
      </text>
    </comment>
    <comment ref="L205" authorId="0">
      <text>
        <r>
          <rPr>
            <sz val="10"/>
            <rFont val="Arial"/>
            <family val="2"/>
          </rPr>
          <t>0.6V to 3.3V</t>
        </r>
      </text>
    </comment>
    <comment ref="L207" authorId="0">
      <text>
        <r>
          <rPr>
            <sz val="10"/>
            <rFont val="Arial"/>
            <family val="2"/>
          </rPr>
          <t>0.35V to Vin</t>
        </r>
      </text>
    </comment>
    <comment ref="L208" authorId="0">
      <text>
        <r>
          <rPr>
            <sz val="10"/>
            <rFont val="Arial"/>
            <family val="2"/>
          </rPr>
          <t>0.35V to Vin</t>
        </r>
      </text>
    </comment>
    <comment ref="L209" authorId="0">
      <text>
        <r>
          <rPr>
            <sz val="10"/>
            <rFont val="Arial"/>
            <family val="2"/>
          </rPr>
          <t>0.4V to Vin</t>
        </r>
      </text>
    </comment>
    <comment ref="L210" authorId="0">
      <text>
        <r>
          <rPr>
            <sz val="10"/>
            <rFont val="Arial"/>
            <family val="2"/>
          </rPr>
          <t>0.40V to 3.60V (or V&lt;sub&gt;IN&lt;/sub&gt;)</t>
        </r>
      </text>
    </comment>
    <comment ref="L211" authorId="0">
      <text>
        <r>
          <rPr>
            <sz val="10"/>
            <rFont val="Arial"/>
            <family val="2"/>
          </rPr>
          <t>24V to 30V</t>
        </r>
      </text>
    </comment>
    <comment ref="L212" authorId="0">
      <text>
        <r>
          <rPr>
            <sz val="10"/>
            <rFont val="Arial"/>
            <family val="2"/>
          </rPr>
          <t>24V to 30V</t>
        </r>
      </text>
    </comment>
    <comment ref="L213" authorId="0">
      <text>
        <r>
          <rPr>
            <sz val="10"/>
            <rFont val="Arial"/>
            <family val="2"/>
          </rPr>
          <t>24V to 30V</t>
        </r>
      </text>
    </comment>
    <comment ref="L215" authorId="0">
      <text>
        <r>
          <rPr>
            <sz val="10"/>
            <rFont val="Arial"/>
            <family val="2"/>
          </rPr>
          <t>0.6V to 20V</t>
        </r>
      </text>
    </comment>
    <comment ref="N226" authorId="0">
      <text>
        <r>
          <rPr>
            <sz val="10"/>
            <rFont val="Arial"/>
            <family val="2"/>
          </rPr>
          <t>VCC=12[V], Io=0.1[A]</t>
        </r>
      </text>
    </comment>
    <comment ref="N227" authorId="0">
      <text>
        <r>
          <rPr>
            <sz val="10"/>
            <rFont val="Arial"/>
            <family val="2"/>
          </rPr>
          <t>Vcc=12[V],Io=0.1[A]</t>
        </r>
      </text>
    </comment>
    <comment ref="N228" authorId="0">
      <text>
        <r>
          <rPr>
            <sz val="10"/>
            <rFont val="Arial"/>
            <family val="2"/>
          </rPr>
          <t>Vin=12[V],Vo=5[V],Io=2[mA]</t>
        </r>
      </text>
    </comment>
    <comment ref="N229" authorId="0">
      <text>
        <r>
          <rPr>
            <sz val="10"/>
            <rFont val="Arial"/>
            <family val="2"/>
          </rPr>
          <t>Vin=12[V],Vo=5[V],Io=2[mA]</t>
        </r>
      </text>
    </comment>
    <comment ref="L237" authorId="0">
      <text>
        <r>
          <rPr>
            <sz val="10"/>
            <rFont val="Arial"/>
            <family val="2"/>
          </rPr>
          <t>up to 75% of Vin</t>
        </r>
      </text>
    </comment>
    <comment ref="N250" authorId="0">
      <text>
        <r>
          <rPr>
            <sz val="10"/>
            <rFont val="Arial"/>
            <family val="2"/>
          </rPr>
          <t>V&lt;sub&gt;I&lt;/sub&gt; = 3.6V, 3 White LEDs in series</t>
        </r>
      </text>
    </comment>
    <comment ref="N251" authorId="0">
      <text>
        <r>
          <rPr>
            <sz val="10"/>
            <rFont val="Arial"/>
            <family val="2"/>
          </rPr>
          <t>Iout = 25mA @Vin = 5V</t>
        </r>
      </text>
    </comment>
    <comment ref="N255" authorId="0">
      <text>
        <r>
          <rPr>
            <sz val="10"/>
            <rFont val="Arial"/>
            <family val="2"/>
          </rPr>
          <t>Vin=3.6V, Vout=3.3V, Iout=100mA</t>
        </r>
      </text>
    </comment>
    <comment ref="N256" authorId="0">
      <text>
        <r>
          <rPr>
            <sz val="10"/>
            <rFont val="Arial"/>
            <family val="2"/>
          </rPr>
          <t>Vin=3.6V, Vout=3.3V, Iout=100mA</t>
        </r>
      </text>
    </comment>
    <comment ref="L261" authorId="0">
      <text>
        <r>
          <rPr>
            <sz val="10"/>
            <rFont val="Arial"/>
            <family val="2"/>
          </rPr>
          <t>V&lt;sub&gt;IN&lt;/sub&gt; = 4.0 to 5.5 V</t>
        </r>
      </text>
    </comment>
    <comment ref="M261" authorId="0">
      <text>
        <r>
          <rPr>
            <sz val="10"/>
            <rFont val="Arial"/>
            <family val="2"/>
          </rPr>
          <t>Max</t>
        </r>
      </text>
    </comment>
    <comment ref="N261" authorId="0">
      <text>
        <r>
          <rPr>
            <sz val="10"/>
            <rFont val="Arial"/>
            <family val="2"/>
          </rPr>
          <t>V&lt;sub&gt;OUT&lt;/sub&gt; = 3.375 V</t>
        </r>
      </text>
    </comment>
    <comment ref="L264" authorId="0">
      <text>
        <r>
          <rPr>
            <sz val="10"/>
            <rFont val="Arial"/>
            <family val="2"/>
          </rPr>
          <t>0.9V to 3.3V</t>
        </r>
      </text>
    </comment>
    <comment ref="N270" authorId="0">
      <text>
        <r>
          <rPr>
            <sz val="10"/>
            <rFont val="Arial"/>
            <family val="2"/>
          </rPr>
          <t>Vin=5V, Vout=1.5V, Iout=2A</t>
        </r>
      </text>
    </comment>
    <comment ref="K274" authorId="0">
      <text>
        <r>
          <rPr>
            <sz val="10"/>
            <rFont val="Arial"/>
            <family val="2"/>
          </rPr>
          <t>18v max</t>
        </r>
      </text>
    </comment>
    <comment ref="L281" authorId="0">
      <text>
        <r>
          <rPr>
            <sz val="10"/>
            <rFont val="Arial"/>
            <family val="2"/>
          </rPr>
          <t>to 80%Vin</t>
        </r>
      </text>
    </comment>
    <comment ref="N284" authorId="0">
      <text>
        <r>
          <rPr>
            <sz val="10"/>
            <rFont val="Arial"/>
            <family val="2"/>
          </rPr>
          <t>3LEDs, Iout=4mA, Vbat=3.2V</t>
        </r>
      </text>
    </comment>
    <comment ref="L292" authorId="0">
      <text>
        <r>
          <rPr>
            <sz val="10"/>
            <rFont val="Arial"/>
            <family val="2"/>
          </rPr>
          <t>0V to 2.3V</t>
        </r>
      </text>
    </comment>
    <comment ref="L307" authorId="0">
      <text>
        <r>
          <rPr>
            <sz val="10"/>
            <rFont val="Arial"/>
            <family val="2"/>
          </rPr>
          <t>Vo &lt;= Vin</t>
        </r>
      </text>
    </comment>
    <comment ref="N307" authorId="0">
      <text>
        <r>
          <rPr>
            <sz val="10"/>
            <rFont val="Arial"/>
            <family val="2"/>
          </rPr>
          <t>Vin=3.6V, Vout=3.3V, Output current Io=500mA</t>
        </r>
      </text>
    </comment>
    <comment ref="L313" authorId="0">
      <text>
        <r>
          <rPr>
            <sz val="10"/>
            <rFont val="Arial"/>
            <family val="2"/>
          </rPr>
          <t>0.8-18</t>
        </r>
      </text>
    </comment>
    <comment ref="L314" authorId="0">
      <text>
        <r>
          <rPr>
            <sz val="10"/>
            <rFont val="Arial"/>
            <family val="2"/>
          </rPr>
          <t>0.8-18</t>
        </r>
      </text>
    </comment>
    <comment ref="O314" authorId="0">
      <text>
        <r>
          <rPr>
            <sz val="10"/>
            <rFont val="Arial"/>
            <family val="2"/>
          </rPr>
          <t>2000</t>
        </r>
      </text>
    </comment>
    <comment ref="L315" authorId="0">
      <text>
        <r>
          <rPr>
            <sz val="10"/>
            <rFont val="Arial"/>
            <family val="2"/>
          </rPr>
          <t>0.8 V and higher</t>
        </r>
      </text>
    </comment>
    <comment ref="M315" authorId="0">
      <text>
        <r>
          <rPr>
            <sz val="10"/>
            <rFont val="Arial"/>
            <family val="2"/>
          </rPr>
          <t>max</t>
        </r>
      </text>
    </comment>
    <comment ref="L316" authorId="0">
      <text>
        <r>
          <rPr>
            <sz val="10"/>
            <rFont val="Arial"/>
            <family val="2"/>
          </rPr>
          <t>0.8 V and higher</t>
        </r>
      </text>
    </comment>
    <comment ref="M316" authorId="0">
      <text>
        <r>
          <rPr>
            <sz val="10"/>
            <rFont val="Arial"/>
            <family val="2"/>
          </rPr>
          <t>Max</t>
        </r>
      </text>
    </comment>
    <comment ref="L319" authorId="0">
      <text>
        <r>
          <rPr>
            <sz val="10"/>
            <rFont val="Arial"/>
            <family val="2"/>
          </rPr>
          <t>0.8-18</t>
        </r>
      </text>
    </comment>
    <comment ref="O319" authorId="0">
      <text>
        <r>
          <rPr>
            <sz val="10"/>
            <rFont val="Arial"/>
            <family val="2"/>
          </rPr>
          <t>2000</t>
        </r>
      </text>
    </comment>
    <comment ref="L320" authorId="0">
      <text>
        <r>
          <rPr>
            <sz val="10"/>
            <rFont val="Arial"/>
            <family val="2"/>
          </rPr>
          <t>0.8-18</t>
        </r>
      </text>
    </comment>
    <comment ref="O320" authorId="0">
      <text>
        <r>
          <rPr>
            <sz val="10"/>
            <rFont val="Arial"/>
            <family val="2"/>
          </rPr>
          <t>2000</t>
        </r>
      </text>
    </comment>
    <comment ref="L321" authorId="0">
      <text>
        <r>
          <rPr>
            <sz val="10"/>
            <rFont val="Arial"/>
            <family val="2"/>
          </rPr>
          <t>0.8 V and higher</t>
        </r>
      </text>
    </comment>
    <comment ref="M321" authorId="0">
      <text>
        <r>
          <rPr>
            <sz val="10"/>
            <rFont val="Arial"/>
            <family val="2"/>
          </rPr>
          <t>max</t>
        </r>
      </text>
    </comment>
    <comment ref="L322" authorId="0">
      <text>
        <r>
          <rPr>
            <sz val="10"/>
            <rFont val="Arial"/>
            <family val="2"/>
          </rPr>
          <t>0.8 V and higher</t>
        </r>
      </text>
    </comment>
    <comment ref="M322" authorId="0">
      <text>
        <r>
          <rPr>
            <sz val="10"/>
            <rFont val="Arial"/>
            <family val="2"/>
          </rPr>
          <t>max</t>
        </r>
      </text>
    </comment>
    <comment ref="L323" authorId="0">
      <text>
        <r>
          <rPr>
            <sz val="10"/>
            <rFont val="Arial"/>
            <family val="2"/>
          </rPr>
          <t>0.8-18</t>
        </r>
      </text>
    </comment>
    <comment ref="O323" authorId="0">
      <text>
        <r>
          <rPr>
            <sz val="10"/>
            <rFont val="Arial"/>
            <family val="2"/>
          </rPr>
          <t>2000</t>
        </r>
      </text>
    </comment>
    <comment ref="L324" authorId="0">
      <text>
        <r>
          <rPr>
            <sz val="10"/>
            <rFont val="Arial"/>
            <family val="2"/>
          </rPr>
          <t>0.8-18</t>
        </r>
      </text>
    </comment>
    <comment ref="O324" authorId="0">
      <text>
        <r>
          <rPr>
            <sz val="10"/>
            <rFont val="Arial"/>
            <family val="2"/>
          </rPr>
          <t>2000</t>
        </r>
      </text>
    </comment>
    <comment ref="N325" authorId="0">
      <text>
        <r>
          <rPr>
            <sz val="10"/>
            <rFont val="Arial"/>
            <family val="2"/>
          </rPr>
          <t>Vin = 6.0 V, Load = 0.6 A
Vin = 10.0 V, Load = 0.6 A
Vin = 12.0 V, Load = 0.6 A</t>
        </r>
      </text>
    </comment>
  </commentList>
</comments>
</file>

<file path=xl/sharedStrings.xml><?xml version="1.0" encoding="utf-8"?>
<sst xmlns="http://schemas.openxmlformats.org/spreadsheetml/2006/main" count="4064" uniqueCount="688">
  <si>
    <t>Product</t>
  </si>
  <si>
    <t>Datasheet</t>
  </si>
  <si>
    <t>Description</t>
  </si>
  <si>
    <t>Compliance</t>
  </si>
  <si>
    <t>Status</t>
  </si>
  <si>
    <t>Topology</t>
  </si>
  <si>
    <t>Phases</t>
  </si>
  <si>
    <t>Control Mode</t>
  </si>
  <si>
    <t>VCC Min (V)</t>
  </si>
  <si>
    <t>VCC Max (V)</t>
  </si>
  <si>
    <t>fSW Typ (kHz)</t>
  </si>
  <si>
    <t>Package Type</t>
  </si>
  <si>
    <t>Non-Synchronous Boost Controller, Automotive Grade</t>
  </si>
  <si>
    <t>AEC Qualified
PPAP Capable
Pb-free</t>
  </si>
  <si>
    <t>ActiveNEW</t>
  </si>
  <si>
    <t>Step-Up</t>
  </si>
  <si>
    <t>1</t>
  </si>
  <si>
    <t>Current Mode</t>
  </si>
  <si>
    <t>3.2</t>
  </si>
  <si>
    <t>44</t>
  </si>
  <si>
    <t>170
340
1000</t>
  </si>
  <si>
    <t>SOIC-8</t>
  </si>
  <si>
    <t>AIRFUEL-MR Wireless Power Transmitter ASIC</t>
  </si>
  <si>
    <t/>
  </si>
  <si>
    <t>Pb-free
Halide free</t>
  </si>
  <si>
    <t>Product Preview</t>
  </si>
  <si>
    <t>QFN-56</t>
  </si>
  <si>
    <t>Synchronous Buck Controller, 7-Bit, Programmable, Single-Phase</t>
  </si>
  <si>
    <t>Active</t>
  </si>
  <si>
    <t>Step-Down</t>
  </si>
  <si>
    <t>3.3</t>
  </si>
  <si>
    <t>22</t>
  </si>
  <si>
    <t>QFN-32</t>
  </si>
  <si>
    <t>Enhanced Current Mode PWM Controller for Forward or Flyback (36-72 V Telecom)</t>
  </si>
  <si>
    <t>1.2</t>
  </si>
  <si>
    <t>AEC Qualified
PPAP Capable
Pb-free
Halide free</t>
  </si>
  <si>
    <t>Flyback
Forward
Push-Pull</t>
  </si>
  <si>
    <t>8.2</t>
  </si>
  <si>
    <t>20</t>
  </si>
  <si>
    <t>Up to 1000</t>
  </si>
  <si>
    <t>SOIC-16</t>
  </si>
  <si>
    <t>PWM Controller, Enhanced Current Mode, for Forward or Flyback (36-72 V Telecom)</t>
  </si>
  <si>
    <t>SOIC-16
TSSOP-16</t>
  </si>
  <si>
    <t>Hysteretic PFET Buck Controller</t>
  </si>
  <si>
    <t>Hysteretic</t>
  </si>
  <si>
    <t>4.5</t>
  </si>
  <si>
    <t>16</t>
  </si>
  <si>
    <t>200</t>
  </si>
  <si>
    <t>PWM Controller, Integrated, Current Mode, for Forward or Flyback (36 - 75 V Telecom Supply)</t>
  </si>
  <si>
    <t>Pb-free
Halide free
AEC Qualified
PPAP Capable</t>
  </si>
  <si>
    <t>Flyback
Forward
Step-Down</t>
  </si>
  <si>
    <t>7.6</t>
  </si>
  <si>
    <t>75</t>
  </si>
  <si>
    <t>400</t>
  </si>
  <si>
    <t>Primary-Side-Regulation PWM Controller</t>
  </si>
  <si>
    <t>Flyback</t>
  </si>
  <si>
    <t>15</t>
  </si>
  <si>
    <t>17</t>
  </si>
  <si>
    <t>42</t>
  </si>
  <si>
    <t>Primary-Side-Regulation PWM Controller (PWM-PSR)</t>
  </si>
  <si>
    <t>50</t>
  </si>
  <si>
    <t>mWSaver™ PWM Controller for Low Standby Power Battery-Charger Applications</t>
  </si>
  <si>
    <t>Low-Power Green-Mode PWM Flyback Power Controller without Secondary Feedback</t>
  </si>
  <si>
    <t>18</t>
  </si>
  <si>
    <t>65</t>
  </si>
  <si>
    <t>TSOT-23-6</t>
  </si>
  <si>
    <t>Offline DCM / CCM Flyback PWM Controller for Charger Applications</t>
  </si>
  <si>
    <t>WDFN-10</t>
  </si>
  <si>
    <t>18.5</t>
  </si>
  <si>
    <t>PWM Controller, Dual-Output/DDR</t>
  </si>
  <si>
    <t>Pb-free</t>
  </si>
  <si>
    <t>TSSOP-28</t>
  </si>
  <si>
    <t>PWM and ULDO Controller Combination</t>
  </si>
  <si>
    <t>TSSOP-16</t>
  </si>
  <si>
    <t>PWM/PFM Controller, Wide Input Voltage</t>
  </si>
  <si>
    <t>PWM/PFM Controller, Wide Input Voltage, Dual-Output/DDR</t>
  </si>
  <si>
    <t>Offline Quasi-Resonant PWM Controller</t>
  </si>
  <si>
    <t>SOIC-10</t>
  </si>
  <si>
    <t>Green-Mode QR PWM Controller for Flyback Converter</t>
  </si>
  <si>
    <t>≤100</t>
  </si>
  <si>
    <t>Green-Mode QR PWM Controller for Flyback Converter, High Frequency to 190KHz</t>
  </si>
  <si>
    <t>≤190</t>
  </si>
  <si>
    <t>6Pin Green-Mode PWM Controller for Flyback Converter, 65KHz</t>
  </si>
  <si>
    <t>Green-Mode PWM Controller for Flyback Converter, 65KHz, Brown In/Out Protection</t>
  </si>
  <si>
    <t>0.4</t>
  </si>
  <si>
    <t>mWSaver™ PWM Controller for Flyback Converter, 65KHz, Line OVP, Brown In/Out Protection</t>
  </si>
  <si>
    <t>11</t>
  </si>
  <si>
    <t>25</t>
  </si>
  <si>
    <t>SOIC8 N Missing Pin 7</t>
  </si>
  <si>
    <t>Versatile PWM Controller</t>
  </si>
  <si>
    <t>Forward</t>
  </si>
  <si>
    <t>13.2</t>
  </si>
  <si>
    <t>16.2</t>
  </si>
  <si>
    <t>PDIP-8</t>
  </si>
  <si>
    <t>Green-Mode PWM Controller for Flyback Converter, Programmable Frequency to 300KHz</t>
  </si>
  <si>
    <t>13</t>
  </si>
  <si>
    <t>100</t>
  </si>
  <si>
    <t>Green-Mode PWM Controller for Flyback Converter, 65KHz</t>
  </si>
  <si>
    <t>Advanced Secondary Side LLC Resonant Converter Controller with Synchronous Rectifier Control</t>
  </si>
  <si>
    <t>Half-Bridge</t>
  </si>
  <si>
    <t>9</t>
  </si>
  <si>
    <t>Variable</t>
  </si>
  <si>
    <t>SOP-16</t>
  </si>
  <si>
    <t>Primary-Side Regulation PWM with Power MOSFET Integrated</t>
  </si>
  <si>
    <t>43</t>
  </si>
  <si>
    <t>Primary-Side-Regulation PWM with POWER MOSFET Integrated</t>
  </si>
  <si>
    <t>SOIC-7</t>
  </si>
  <si>
    <t>Green-Mode Fairchild Power Switch (FPS™)</t>
  </si>
  <si>
    <t>Upto 40V input DCDC PWM controller fixed frequency upto 100khz</t>
  </si>
  <si>
    <t>PWM Controller programmable frequency upto 430khz</t>
  </si>
  <si>
    <t>PDIP-16</t>
  </si>
  <si>
    <t>PWM Controller programmable frequency upto 500khz</t>
  </si>
  <si>
    <t>14.5</t>
  </si>
  <si>
    <t>17.5</t>
  </si>
  <si>
    <t>52</t>
  </si>
  <si>
    <t>PWM Controller programmable frequency upto 300khz</t>
  </si>
  <si>
    <t>PDIP-16
SOIC16 N</t>
  </si>
  <si>
    <t>PWM Controller programmable frequency upto 600khz</t>
  </si>
  <si>
    <t>Non-Synchronous Buck Controller, Switching, 1-Channel</t>
  </si>
  <si>
    <t>40</t>
  </si>
  <si>
    <t>330
300 - 2200</t>
  </si>
  <si>
    <t>SSOP-16</t>
  </si>
  <si>
    <t>Buck Converter, DC-DC, 1-Channel</t>
  </si>
  <si>
    <t>365
50 - 500</t>
  </si>
  <si>
    <t>Buck Regulator, Switching, 1-Channel</t>
  </si>
  <si>
    <t>8.5</t>
  </si>
  <si>
    <t>125</t>
  </si>
  <si>
    <t>Step-down Switching Regulator</t>
  </si>
  <si>
    <t>8</t>
  </si>
  <si>
    <t>1000</t>
  </si>
  <si>
    <t>WQFN-16 / VQFN-16J</t>
  </si>
  <si>
    <t>220
80 - 500</t>
  </si>
  <si>
    <t>Buck Regulator, Constant Current, for Driving High Power LEDs</t>
  </si>
  <si>
    <t>DFN-10</t>
  </si>
  <si>
    <t>100 V Synchronous Buck Controller</t>
  </si>
  <si>
    <t>Voltage Mode</t>
  </si>
  <si>
    <t>40
42
57
75
100</t>
  </si>
  <si>
    <t>Up to 500</t>
  </si>
  <si>
    <t>Integrated PoE-PD and DC-DC converter controller, 13 W</t>
  </si>
  <si>
    <t>0</t>
  </si>
  <si>
    <t>57</t>
  </si>
  <si>
    <t>250</t>
  </si>
  <si>
    <t>TSSOP-20</t>
  </si>
  <si>
    <t>Integrated PoE-PD and DC-DC Converter Controller, 40 W</t>
  </si>
  <si>
    <t>Integrated PoE-PD and DC-DC converter controller, 13 W, with auxiliary supply support</t>
  </si>
  <si>
    <t>Integrated PoE-PD and DC-DC Converter Controller, 40 W, with Auxiliary Supply Support</t>
  </si>
  <si>
    <t>Controller, PoE-PD Interface, Integrated</t>
  </si>
  <si>
    <t>36</t>
  </si>
  <si>
    <t>SOIC-8
TSSOP-8</t>
  </si>
  <si>
    <t>Controller, PoE-PD interface, integrated, with programmable UVLO</t>
  </si>
  <si>
    <t>Controller, PoE-PD interface, integrated, with Vaux support</t>
  </si>
  <si>
    <t>IEEE802.3at PoE-PD interface controller</t>
  </si>
  <si>
    <t>Power Over Ethernet – Powered Device Interface Controller, IEEE 802.3bt</t>
  </si>
  <si>
    <t>34.2</t>
  </si>
  <si>
    <t>Power Over Ethernet – Powered Device Interface Controller with integrated hot swap FET, IEEE 802.3bt</t>
  </si>
  <si>
    <t>TSSOP-16 EP</t>
  </si>
  <si>
    <t>Ultra Wide Input Current Mode PWM Controller</t>
  </si>
  <si>
    <t>0.8</t>
  </si>
  <si>
    <t>6.5</t>
  </si>
  <si>
    <t>120
160</t>
  </si>
  <si>
    <t>MSOP-10
WQFN-10</t>
  </si>
  <si>
    <t>PWM Controller for Flyback or Forward Converters</t>
  </si>
  <si>
    <t>Flyback
Forward
Half-Bridge
Step-Down
Step-Up</t>
  </si>
  <si>
    <t>4.7</t>
  </si>
  <si>
    <t>PWM Controller, High Performance, Active Clamp / Reset</t>
  </si>
  <si>
    <t>8V</t>
  </si>
  <si>
    <t>100V</t>
  </si>
  <si>
    <t>Up to 1MHz</t>
  </si>
  <si>
    <t>PWM Controller, Highly Integrated Dual-Mode Active Clamp</t>
  </si>
  <si>
    <t>Current/Voltage Mode</t>
  </si>
  <si>
    <t>120</t>
  </si>
  <si>
    <t>Programmable up to 1.5Mhz</t>
  </si>
  <si>
    <t>QFN-24</t>
  </si>
  <si>
    <t>Highly Integrated Dual-Mode Active Clamp PWM Controller</t>
  </si>
  <si>
    <t>Programmable up to 1 MHz</t>
  </si>
  <si>
    <t>Synchronous Buck Controller, Low Voltage</t>
  </si>
  <si>
    <t>275</t>
  </si>
  <si>
    <t>Synchronous Buck Controller, High Frequency, PWM, for Tracking Applications</t>
  </si>
  <si>
    <t>0.62</t>
  </si>
  <si>
    <t>7</t>
  </si>
  <si>
    <t>SOIC-14</t>
  </si>
  <si>
    <t>250 - 300</t>
  </si>
  <si>
    <t>180 - 220</t>
  </si>
  <si>
    <t>Snychronous Buck Controller</t>
  </si>
  <si>
    <t>Synchronous Buck Controller, Low Voltage, with Light Load Efficiency and Transient Enhancement</t>
  </si>
  <si>
    <t>Synchronous PWM Controller</t>
  </si>
  <si>
    <t>4.7
4.75
6
7
7.6</t>
  </si>
  <si>
    <t>12.6
13.2
14
14.5
16
20
27
28</t>
  </si>
  <si>
    <t>TSSOP-14</t>
  </si>
  <si>
    <t>28</t>
  </si>
  <si>
    <t>Up to 200</t>
  </si>
  <si>
    <t>5
5.75
7
13.2
14
14.5
16
20
27
28</t>
  </si>
  <si>
    <t>300
600</t>
  </si>
  <si>
    <t>13.2
14.5
16
20
28</t>
  </si>
  <si>
    <t>1200
2400</t>
  </si>
  <si>
    <t>Synchronous Buck Converter, Multi Phase, with I2C Interface</t>
  </si>
  <si>
    <t>2/3/4</t>
  </si>
  <si>
    <t>1.7</t>
  </si>
  <si>
    <t>24</t>
  </si>
  <si>
    <t>1500</t>
  </si>
  <si>
    <t>QFN-40</t>
  </si>
  <si>
    <t>Synchronous Buck Converter, 8-Phase, VR11.1 Programmable, with I2C Interface</t>
  </si>
  <si>
    <t>1/2/3/4/5/6/7/8</t>
  </si>
  <si>
    <t>QFN-48</t>
  </si>
  <si>
    <t>Single Synchronous Step Down Controller</t>
  </si>
  <si>
    <t>27</t>
  </si>
  <si>
    <t>300</t>
  </si>
  <si>
    <t>QFN-16</t>
  </si>
  <si>
    <t>Synchronous Buck Controller, Single</t>
  </si>
  <si>
    <t>QFN-14</t>
  </si>
  <si>
    <t xml:space="preserve">Low Voltage Synchronous Buck Controller </t>
  </si>
  <si>
    <t>System Agent Controller with 2-bit VID</t>
  </si>
  <si>
    <t>QFN-20</t>
  </si>
  <si>
    <t>Synchronous Buck Controller, Switching Regulator, Single Phase, 7-Bit, Programmable</t>
  </si>
  <si>
    <t>Dual Synchronous Buck Controller</t>
  </si>
  <si>
    <t>V&lt;sup&gt;2&lt;/sup&gt;</t>
  </si>
  <si>
    <t>4.75</t>
  </si>
  <si>
    <t>750</t>
  </si>
  <si>
    <t>IMVP7 1-, 2-, 3-Phase CPU Controller + 1-Phase GPU Controller</t>
  </si>
  <si>
    <t>0.6</t>
  </si>
  <si>
    <t>QFN-52</t>
  </si>
  <si>
    <t xml:space="preserve">VR12 2-, 3-, 4-Phase CPU Controller + 1-Phase GPU Controller </t>
  </si>
  <si>
    <t>Synchronous Buck Controller with Auto Power Saving Mode and Built-In LDO</t>
  </si>
  <si>
    <t>5.5</t>
  </si>
  <si>
    <t>QFN-28</t>
  </si>
  <si>
    <t>3 Phase VR12.5-6 High Speed Digital Controller with SVID and I2C Interfaces</t>
  </si>
  <si>
    <t>1/2/3</t>
  </si>
  <si>
    <t>5.25</t>
  </si>
  <si>
    <t>1000 - 5000</t>
  </si>
  <si>
    <t>Multiple-Phase Controller with SVID Interface</t>
  </si>
  <si>
    <t>600</t>
  </si>
  <si>
    <t>Vr12.6 single phase controller</t>
  </si>
  <si>
    <t>VR Multi-Phase Controller</t>
  </si>
  <si>
    <t>590</t>
  </si>
  <si>
    <t>QFN-36</t>
  </si>
  <si>
    <t>Low Voltage Synchronous Buck Controller</t>
  </si>
  <si>
    <t>Synchronous Buck Controller
with Auto Power Saving
Mode and Built-In LDO</t>
  </si>
  <si>
    <t>300, 400, 600</t>
  </si>
  <si>
    <t>Single-Phase Voltage Regulator with SVID Interface for Computing Applications</t>
  </si>
  <si>
    <t>500 - 1200</t>
  </si>
  <si>
    <t>Multi-Phase Synchronous Buck Controller with Power Saving Mode and PWM VID Interface</t>
  </si>
  <si>
    <t>5</t>
  </si>
  <si>
    <t>200 - 1000</t>
  </si>
  <si>
    <t>Low Voltage Synchronous Buck Controller with Power Saving Mode</t>
  </si>
  <si>
    <t>Buck Controller, USB Power Delivery and Type-C Applications</t>
  </si>
  <si>
    <t>150 to 1200</t>
  </si>
  <si>
    <t>Multi-Phase Controller with Dual Loop Capability, Configurable, DrMOS Compatible</t>
  </si>
  <si>
    <t>200 - 1200</t>
  </si>
  <si>
    <t>Multi-Phase Controller, Configurable, 4.5 V to 20 V, I2C</t>
  </si>
  <si>
    <t>4/5/6</t>
  </si>
  <si>
    <t>20V</t>
  </si>
  <si>
    <t>200 to 1200</t>
  </si>
  <si>
    <t>2</t>
  </si>
  <si>
    <t>4-Switch Buck Boost Controller, USB Power Delivery and Type-C Applications</t>
  </si>
  <si>
    <t>Step-Up/Step-Down/SEPIC</t>
  </si>
  <si>
    <t>Single-Phase Controller with SVID Interface for Desktop and Notebook CPU Applications</t>
  </si>
  <si>
    <t>250 - 1200</t>
  </si>
  <si>
    <t>Multi-Phase Buck Controller for IMVP8</t>
  </si>
  <si>
    <t>300 - 1200</t>
  </si>
  <si>
    <t>Three-Rail Output Controller, IMVP8 Compatible</t>
  </si>
  <si>
    <t>Three-Rail Multi Phase Buck Controller for IMVP8</t>
  </si>
  <si>
    <t>1/2</t>
  </si>
  <si>
    <t>300 - 750</t>
  </si>
  <si>
    <t>Three-Rail Buck Controller for IMVP8</t>
  </si>
  <si>
    <t>5.25&lt;sup&gt;&lt;/sup&gt;</t>
  </si>
  <si>
    <t>Single−Phase Synchronous Buck Regulator with Integrated Power MOSFETs for VR12 Embedded CPUs</t>
  </si>
  <si>
    <t>5.75</t>
  </si>
  <si>
    <t>Single-Phase Regulator for IMVP8</t>
  </si>
  <si>
    <t>600 - 1200</t>
  </si>
  <si>
    <t>Multiphase synchronous controller optimized with PWM_VID and I2C Interface
for new generation computing and graphics processors.</t>
  </si>
  <si>
    <t>4/3/2/1 Multi-Phase Buck Controller with PWM_VID and I2C Interface</t>
  </si>
  <si>
    <t>AEC Qual - 100 V Synchronous Buck Controller</t>
  </si>
  <si>
    <t>6</t>
  </si>
  <si>
    <t>DFNW-10</t>
  </si>
  <si>
    <t>PWM Controller (Automotive)</t>
  </si>
  <si>
    <t>Flyback
Half-Bridge
Push-Pull
Step-Down</t>
  </si>
  <si>
    <t>3-Channel controller with diagnostics for Automotive LED Lamps</t>
  </si>
  <si>
    <t>TSSOP-14 WB</t>
  </si>
  <si>
    <t>Multiphase Booster LED Driver for Automotive Front Lighting</t>
  </si>
  <si>
    <t>QFN-24
TSSOP-20</t>
  </si>
  <si>
    <t>Low Quiescent Current 410 kHz Automotive Synchronous Buck Controller</t>
  </si>
  <si>
    <t>3.5 V</t>
  </si>
  <si>
    <t>45 V</t>
  </si>
  <si>
    <t>410</t>
  </si>
  <si>
    <t>QFNW-24</t>
  </si>
  <si>
    <t>Automotive Average Current Mode Controller</t>
  </si>
  <si>
    <t>P-Channel, 100% Duty Cycle, Non-Synchronous Buck Controller, Automotive Grade</t>
  </si>
  <si>
    <t>3.1</t>
  </si>
  <si>
    <t>170</t>
  </si>
  <si>
    <t>Automotive Grade Non-Synchronous Buck Controller</t>
  </si>
  <si>
    <t>340</t>
  </si>
  <si>
    <t>Step-Up
Step-Up/Step-Down</t>
  </si>
  <si>
    <t>45</t>
  </si>
  <si>
    <t>50
100</t>
  </si>
  <si>
    <t>Automotive Grade Non-Synchronous Boost Controller</t>
  </si>
  <si>
    <t>Flyback
Forward
Step-Up</t>
  </si>
  <si>
    <t>4.8</t>
  </si>
  <si>
    <t>100 - 1000</t>
  </si>
  <si>
    <t>Flyback
Forward
Quasi-Resonant
Step-Up
Step-Up/Step-Down
Step-Up/Step-Down/SEPIC</t>
  </si>
  <si>
    <t>400
1000</t>
  </si>
  <si>
    <t>Automotive Grade Start-Stop Non-Synchronous Boost Controller</t>
  </si>
  <si>
    <t>3.6</t>
  </si>
  <si>
    <t>3.8</t>
  </si>
  <si>
    <t>450</t>
  </si>
  <si>
    <t>Low Quiescent Current 2 MHz Automotive Synchronous Buck Controller</t>
  </si>
  <si>
    <t>2000</t>
  </si>
  <si>
    <t>Non-Synchronous SEPIC / Boost Controller, 2 MHz</t>
  </si>
  <si>
    <t>Flyback
Forward
Step-Up
Step-Up/Step-Down</t>
  </si>
  <si>
    <t>Up to 2200</t>
  </si>
  <si>
    <t>PWM Controller</t>
  </si>
  <si>
    <t>Flyback
Forward
Half-Bridge
Push-Pull
Step-Down
Step-Up</t>
  </si>
  <si>
    <t>35</t>
  </si>
  <si>
    <t>PDIP-16
SOIC-16W</t>
  </si>
  <si>
    <t>PWM Controller (up to 200 kHz)</t>
  </si>
  <si>
    <t>Up to 300</t>
  </si>
  <si>
    <r>
      <t>T</t>
    </r>
    <r>
      <rPr>
        <b/>
        <sz val="10"/>
        <color indexed="9"/>
        <rFont val="Arial"/>
        <family val="2"/>
      </rPr>
      <t>ype</t>
    </r>
    <phoneticPr fontId="3" type="noConversion"/>
  </si>
  <si>
    <r>
      <t>D</t>
    </r>
    <r>
      <rPr>
        <sz val="10"/>
        <rFont val="Arial"/>
        <family val="2"/>
      </rPr>
      <t>C-DC</t>
    </r>
    <r>
      <rPr>
        <sz val="10"/>
        <rFont val="宋体"/>
        <charset val="134"/>
      </rPr>
      <t>控制器</t>
    </r>
    <phoneticPr fontId="3" type="noConversion"/>
  </si>
  <si>
    <t>VO Typ (V)</t>
  </si>
  <si>
    <t>IO Typ (A)</t>
  </si>
  <si>
    <t>Efficiency (%)</t>
  </si>
  <si>
    <r>
      <t>DC-DC&amp;PMIC</t>
    </r>
    <r>
      <rPr>
        <sz val="10"/>
        <rFont val="宋体"/>
        <charset val="134"/>
      </rPr>
      <t>转换器</t>
    </r>
    <phoneticPr fontId="8" type="noConversion"/>
  </si>
  <si>
    <t>One Buck, One Boost and Four LDO PMIC</t>
  </si>
  <si>
    <t>WLCSP-25</t>
  </si>
  <si>
    <t>4.5V to 18V, 30A Highly efficient, DC/DC Converter in thermally enhanced 5mm by 6mm package</t>
  </si>
  <si>
    <t>30</t>
  </si>
  <si>
    <t>96</t>
  </si>
  <si>
    <t>PQFN-37</t>
  </si>
  <si>
    <t>Automotive Multi-Output Power Management IC (PMIC) for Safety Applications</t>
  </si>
  <si>
    <t>4.1 V</t>
  </si>
  <si>
    <t>40 V</t>
  </si>
  <si>
    <t>3.3 V
3.3V
5 V
5V</t>
  </si>
  <si>
    <t>3 A
3A
400 mA
400mA</t>
  </si>
  <si>
    <t>80 - 85
80 -85</t>
  </si>
  <si>
    <t>QFNW-20</t>
  </si>
  <si>
    <t>Automotive Battery-Connected Low-Iq Multi-Output Power Management Unit with 3 Buck Regulators</t>
  </si>
  <si>
    <t>QFNW-32</t>
  </si>
  <si>
    <t>AEC Qualified
PPAP Capable
Pb-free
Halide free
ISO 26262</t>
  </si>
  <si>
    <t>4.1V</t>
  </si>
  <si>
    <t>40V</t>
  </si>
  <si>
    <t>3.3V
5V
Adj low voltage Buck</t>
  </si>
  <si>
    <t>2A
3A
250mA</t>
  </si>
  <si>
    <t>80-85</t>
  </si>
  <si>
    <t>2 MHz</t>
  </si>
  <si>
    <t>3.0A Step Down Switching Voltage Regulator</t>
  </si>
  <si>
    <t>2.5</t>
  </si>
  <si>
    <t>Adjustable</t>
  </si>
  <si>
    <t>3</t>
  </si>
  <si>
    <t>80</t>
  </si>
  <si>
    <t>2400</t>
  </si>
  <si>
    <t>WLCSP-15</t>
  </si>
  <si>
    <t>Synchronous PWM Buck Regulator, High Performance, Voltage Mode, 65 V, 6 A</t>
  </si>
  <si>
    <t>-</t>
  </si>
  <si>
    <t>PQFN-35</t>
  </si>
  <si>
    <t>Buck Regulator, Low Voltage, 1.5 A, 520 kHz, with External Bias</t>
  </si>
  <si>
    <t>V2</t>
  </si>
  <si>
    <t>1.5</t>
  </si>
  <si>
    <t>520</t>
  </si>
  <si>
    <t>Boost Regulator, Positive, 1.5 A, 280 kHz</t>
  </si>
  <si>
    <t>Flyback
Step-Down
Step-Up</t>
  </si>
  <si>
    <t>2.7</t>
  </si>
  <si>
    <t>3-39</t>
  </si>
  <si>
    <t>90</t>
  </si>
  <si>
    <t>Boost Regulator, Negative, 1.5 A, 280 kHz</t>
  </si>
  <si>
    <t>Boost Regulator, Positive, 1.5 A, 560 kHz</t>
  </si>
  <si>
    <t>High-efficiency step-down DC/DC converter</t>
  </si>
  <si>
    <t>96%</t>
  </si>
  <si>
    <t>1300</t>
  </si>
  <si>
    <t>WDFN-6</t>
  </si>
  <si>
    <t>6 A Synchronous Buck Regulator</t>
  </si>
  <si>
    <t>≥90%</t>
  </si>
  <si>
    <t>PQFN-34</t>
  </si>
  <si>
    <t>10 A Synchronous Buck Regulator</t>
  </si>
  <si>
    <t>10</t>
  </si>
  <si>
    <t>15 A Synchronous Buck Regulator</t>
  </si>
  <si>
    <t>4 A Synchronous Buck Regulator for DDR Termination</t>
  </si>
  <si>
    <t>null</t>
  </si>
  <si>
    <t>4</t>
  </si>
  <si>
    <t>20 A Synchronous Buck Regulator</t>
  </si>
  <si>
    <t>Buck Regulator, Synchronous, 15 A</t>
  </si>
  <si>
    <t>3MHz Synchronous TinyBoost™</t>
  </si>
  <si>
    <t>2.3</t>
  </si>
  <si>
    <t>3.3
5
5.4</t>
  </si>
  <si>
    <t>0.4
-</t>
  </si>
  <si>
    <t>92</t>
  </si>
  <si>
    <t>3000</t>
  </si>
  <si>
    <t>UDFN-6
WLCSP-6</t>
  </si>
  <si>
    <t>2.5 MHz, 1 A, Fixed-Output Synchronous TinyBoost® Regulator</t>
  </si>
  <si>
    <t>0.3</t>
  </si>
  <si>
    <t>3.3
4.5
5</t>
  </si>
  <si>
    <t>92
94</t>
  </si>
  <si>
    <t>2500</t>
  </si>
  <si>
    <t>WLCSP-9</t>
  </si>
  <si>
    <t>2.5 MHz, Fixed-Output, Synchronous Tiny Boost® Regulator</t>
  </si>
  <si>
    <t>0.35</t>
  </si>
  <si>
    <t>Fixed-Output Synchronous TinyBoost® Regulator</t>
  </si>
  <si>
    <t>5.25
5.4</t>
  </si>
  <si>
    <t>97</t>
  </si>
  <si>
    <t>2300</t>
  </si>
  <si>
    <t>2500 mA, Synchronous TinyBoost® Regulator with Bypass Mode</t>
  </si>
  <si>
    <t>3.15
3.2
3.3
3.5
3.6
5</t>
  </si>
  <si>
    <t>WLCSP-16</t>
  </si>
  <si>
    <t>2.5MHz, 1500mA, Synchronous TinyBoost™ Regulator with Bypass Mode</t>
  </si>
  <si>
    <t>2.35</t>
  </si>
  <si>
    <t>3.15
3.3
3.4
3.5
3.7
4.5
5</t>
  </si>
  <si>
    <t>2.5 MHz, 1500 mA, Synchronous TinyBoost Regulator with Bypass Mode</t>
  </si>
  <si>
    <t>3.15V / 3.60V</t>
  </si>
  <si>
    <t>2.5 MHz, 2.0 A Pulsed-Load Synchronous TinyBoost™ Regulator with Bypass Mode for GSM PA Supply</t>
  </si>
  <si>
    <t>3.3
3.5</t>
  </si>
  <si>
    <t>Fixed-Output Synchronous TinyBoost&lt;sup&gt;®&lt;/sup&gt; Regulator</t>
  </si>
  <si>
    <t>93</t>
  </si>
  <si>
    <t>3 MHz, Synchronous Regulator</t>
  </si>
  <si>
    <t>WLCSP-6</t>
  </si>
  <si>
    <t>Buck-Boost Regulator, 2.5 A, 1.8 MHz, TinyPower™</t>
  </si>
  <si>
    <t>Buck</t>
  </si>
  <si>
    <t>3.3
3.6</t>
  </si>
  <si>
    <t>1800</t>
  </si>
  <si>
    <t>WLCSP-20</t>
  </si>
  <si>
    <t>Buck-Boost Regulator, 2 A, 1.8 MHz, TinyPower™ I&lt;sup&gt;2&lt;/sup&gt;C</t>
  </si>
  <si>
    <t>3.4</t>
  </si>
  <si>
    <t>Buck-Boost Regulator, 2.5 A, 1.8 MHz, TinyPower™ I2C</t>
  </si>
  <si>
    <t>Step-Up/Step-Down</t>
  </si>
  <si>
    <t>3.3
3.4</t>
  </si>
  <si>
    <t>5A, 2.4 MHz, Digitally Programmable TinyBuck® Regulator</t>
  </si>
  <si>
    <t>88</t>
  </si>
  <si>
    <t>Adjustable, 1.6MHz Boost Regulator with 20V Integrated FET Switch</t>
  </si>
  <si>
    <t>1600</t>
  </si>
  <si>
    <t>SOT-23-5</t>
  </si>
  <si>
    <t>Adjustable, 1.6MHz Boost Regulator with 30V Integrated FET Switch</t>
  </si>
  <si>
    <t>1.8</t>
  </si>
  <si>
    <t>3MHz 600mA DC/DC Buck Converter in WLCSP and MLP package</t>
  </si>
  <si>
    <t>1.82</t>
  </si>
  <si>
    <t>3.0A, 2.4MHz, Digitally Programmable TinyBuck® Regulator</t>
  </si>
  <si>
    <t>3.0 A, 2.4 MHz, Digitally Programmable Buck Regulator</t>
  </si>
  <si>
    <t>3Mhz, 3A Synchronous Buck Regulator</t>
  </si>
  <si>
    <t>85</t>
  </si>
  <si>
    <t>WDFN-12</t>
  </si>
  <si>
    <t>2.4 MHz, 5 A TinyBuck™ Synchronous Buck Regulator</t>
  </si>
  <si>
    <t>1.1A / 1A / 0.8A, 3MHz Digitally Programmable Regulator</t>
  </si>
  <si>
    <t>WLCSP-12</t>
  </si>
  <si>
    <t>5 A, 2.4 MHz, Digitally Programmable TinyBuck™ Regulator</t>
  </si>
  <si>
    <t>3 MHz, 600 mA / 1A Synchronous Buck Regulator</t>
  </si>
  <si>
    <t>2.8
3.3</t>
  </si>
  <si>
    <t>6MHz, 600mA / 1A Synchronous Buck Regulator</t>
  </si>
  <si>
    <t>1
1.05
1.82
2.05</t>
  </si>
  <si>
    <t>0.6
1</t>
  </si>
  <si>
    <t>6000</t>
  </si>
  <si>
    <t>1.2A Synchronous Buck Regulator</t>
  </si>
  <si>
    <t>1.233</t>
  </si>
  <si>
    <t>6MHz, 600mA / 750mA Synchronous Buck Regulator</t>
  </si>
  <si>
    <t>1.23
1.5
1.82
1.9</t>
  </si>
  <si>
    <t>2.9
3
3.3</t>
  </si>
  <si>
    <t>1.1
1.15
1.2
1.23
1.3
1.35
1.8</t>
  </si>
  <si>
    <t>3MHz, 500mA / 750mA Synchronous Buck Regulator</t>
  </si>
  <si>
    <t>0.5</t>
  </si>
  <si>
    <t>UDFN-6</t>
  </si>
  <si>
    <t>1.0A Synchronous Buck Regulator</t>
  </si>
  <si>
    <t>1.5A Synchronous Buck Regulator</t>
  </si>
  <si>
    <t>0.7
1.1</t>
  </si>
  <si>
    <t>1.3A Synchronous buck Regulator with I2C interface</t>
  </si>
  <si>
    <t>1.3</t>
  </si>
  <si>
    <t>Buck Converter with Bypass Mode for 3G/3.5G and 4G PAs</t>
  </si>
  <si>
    <t>3000 to 6000</t>
  </si>
  <si>
    <t>Buck Converter with Bypass Mode for GSM/EDGE PAMs, 3G/3.5G and 4G PAs</t>
  </si>
  <si>
    <t>95</t>
  </si>
  <si>
    <t>Multi-Mode Buck Converter with LDO Assist for GSM / EDGE, 3 G/3.5 G and 4 G PAs</t>
  </si>
  <si>
    <t>2900</t>
  </si>
  <si>
    <t>Multi-Mode Buck Converter with LDO Assist for GSM / EDGE, 3G/3.5G and 4G PAs</t>
  </si>
  <si>
    <t>Synchronous PWM Buck Regulator, High Performance, Voltage Mode, 65 V, 8 A</t>
  </si>
  <si>
    <t>Synchronous PWM Buck Regulator, High Performance, Voltage Mode, 65 V, 10 A</t>
  </si>
  <si>
    <t>1.2MHz, 1A Synchronous Step-Down DC/DC Converter</t>
  </si>
  <si>
    <t>1200</t>
  </si>
  <si>
    <t>Step-Down DC-DC Regulator, Non-Synchronous, 2 A, 23 V</t>
  </si>
  <si>
    <t>23</t>
  </si>
  <si>
    <t>370</t>
  </si>
  <si>
    <t>Separately-Excited Step-Dowm Switching Regulator (Variable Type)</t>
  </si>
  <si>
    <t>12, 5, 3.3</t>
  </si>
  <si>
    <t>0.7</t>
  </si>
  <si>
    <t>160</t>
  </si>
  <si>
    <t>Buck Regulator, Switching, Adjustable Output Voltage, 0.5 A</t>
  </si>
  <si>
    <t>1.23 to 37
5
12</t>
  </si>
  <si>
    <t>PDIP-8
SOIC-16W</t>
  </si>
  <si>
    <t>Buck Regulator, Switching, Adjustable Output Voltage, 1.0 A</t>
  </si>
  <si>
    <t>1.23 to 37
3.3
5
12
15</t>
  </si>
  <si>
    <t>D&lt;sup&gt;2&lt;/sup&gt;PAK-5
TO-220-5</t>
  </si>
  <si>
    <t>Buck Regulator, Switching, 3.0 A, 15 V</t>
  </si>
  <si>
    <t>Buck Regulator, Switching, 0.5 A</t>
  </si>
  <si>
    <t>1.23 to 37</t>
  </si>
  <si>
    <t>150</t>
  </si>
  <si>
    <t>Buck Regulator, Switching, 1.0 A</t>
  </si>
  <si>
    <t>1.25 to 37</t>
  </si>
  <si>
    <t>Buck Regulator, Switching, 3.0 A</t>
  </si>
  <si>
    <t>Dual-Output DC-DC Converter for LCD Panel</t>
  </si>
  <si>
    <t>2.75</t>
  </si>
  <si>
    <t>4.6</t>
  </si>
  <si>
    <t>±5</t>
  </si>
  <si>
    <t>0.1</t>
  </si>
  <si>
    <t>TDFN-12</t>
  </si>
  <si>
    <t>Programmable DC-DC Converter, ±5 V Dual-Output, Single Inductor</t>
  </si>
  <si>
    <t>4.1</t>
  </si>
  <si>
    <t>5.7</t>
  </si>
  <si>
    <t>5
5.5</t>
  </si>
  <si>
    <t>0.05</t>
  </si>
  <si>
    <t>1850</t>
  </si>
  <si>
    <t>Step-Up DC-DC Converter, 1-Channel</t>
  </si>
  <si>
    <t>Linear
Step-Up</t>
  </si>
  <si>
    <t>0.52</t>
  </si>
  <si>
    <t>88.4</t>
  </si>
  <si>
    <t>HSSOP-14</t>
  </si>
  <si>
    <t>DC-DC Boost Converter for BS/CS Antennas</t>
  </si>
  <si>
    <t>15 / 11</t>
  </si>
  <si>
    <t>Buck Converter, Switching Regulator, 1-Channel</t>
  </si>
  <si>
    <t>5, 3.3</t>
  </si>
  <si>
    <t>3.3, 5.0</t>
  </si>
  <si>
    <t>SOIC-10 NB</t>
  </si>
  <si>
    <t>Buck / Boost / Inverting Regulator, Switching, 1.5 A</t>
  </si>
  <si>
    <t>Step-Down
Step-Up
Step-Up/Step-Down</t>
  </si>
  <si>
    <t>1.25 to 40</t>
  </si>
  <si>
    <t>PDIP-8
SOIC-8</t>
  </si>
  <si>
    <t>Buck / Boost / Inverting Regulator, Switching, 3.4 A</t>
  </si>
  <si>
    <t>1.6</t>
  </si>
  <si>
    <t>SOIC-16W</t>
  </si>
  <si>
    <t>Buck / Boost / Inverting Regulator, Switching, 3.0 A</t>
  </si>
  <si>
    <t>7.5</t>
  </si>
  <si>
    <t>1.5 to 40</t>
  </si>
  <si>
    <t>Buck / Boost / Inverting Regulator, Switching, 5.0 A</t>
  </si>
  <si>
    <t>5.0 to 40</t>
  </si>
  <si>
    <t>72</t>
  </si>
  <si>
    <t>Integrated DC-DC Converter for PoE and Telecom</t>
  </si>
  <si>
    <t>Micro8™</t>
  </si>
  <si>
    <t>12</t>
  </si>
  <si>
    <t>DFN-8
SOIC-8</t>
  </si>
  <si>
    <t>Integrated DC-DC Converter, PWM, 3.0W</t>
  </si>
  <si>
    <t>WDFN-8</t>
  </si>
  <si>
    <t>Power over Ethernet</t>
  </si>
  <si>
    <t>0.68</t>
  </si>
  <si>
    <t>Boost Converter, PFM, DC-DC, 15 V, 50 mA</t>
  </si>
  <si>
    <t>Up to 15</t>
  </si>
  <si>
    <t>TSOP-5 / SOT-23-5</t>
  </si>
  <si>
    <t>Boost Converter, PFM, DC-DC, 25 V, 25 mA</t>
  </si>
  <si>
    <t>1.4</t>
  </si>
  <si>
    <t>Up to 25</t>
  </si>
  <si>
    <t>0.025</t>
  </si>
  <si>
    <t>Boost Converter, Sync-Rect, PFM, DC-DC, 600 mA, with True-Cutoff and Ring-Killer</t>
  </si>
  <si>
    <t>1.5 to 5.0</t>
  </si>
  <si>
    <t>Up to 94</t>
  </si>
  <si>
    <t>Up to 1200</t>
  </si>
  <si>
    <t>Boost Converter, Sync-Rect, PFM, DC-DC, 800 mA, with True-Cutoff and Ring-Killer</t>
  </si>
  <si>
    <t>Boost Converter, Sync-Rect, PFM, DC-DC, 400 mA, with True-Cutoff and Ring-Killer</t>
  </si>
  <si>
    <t>1.8 to 3.3</t>
  </si>
  <si>
    <t>Up to 600</t>
  </si>
  <si>
    <t>Micro10</t>
  </si>
  <si>
    <t>Buck Converter, DC-DC, 1.5 MHz, 600 mA</t>
  </si>
  <si>
    <t>0.9 to 3.3</t>
  </si>
  <si>
    <t>Buck Converter, DC-DC, 3 MHz, 600 mA</t>
  </si>
  <si>
    <t>TSOP-5 / SOT-23-5
UDFN-6</t>
  </si>
  <si>
    <t>Buck Converter, DC-DC, Dual, Low Iq, High Efficiency, 2.25 MHz, 1.6 A</t>
  </si>
  <si>
    <t>2250</t>
  </si>
  <si>
    <t>UDFN-10</t>
  </si>
  <si>
    <t>Synchronous Buck Regulator, PWM, 6.0 A, with Integrated FETs</t>
  </si>
  <si>
    <t>0.891 to 5.4</t>
  </si>
  <si>
    <t>Up to 700</t>
  </si>
  <si>
    <t>TSSOP-28 EP</t>
  </si>
  <si>
    <t>Synchronous Buck Regulator, 1 MHz, 3.0 A</t>
  </si>
  <si>
    <t>0.6 to 5.0</t>
  </si>
  <si>
    <t>Synchronous DC-DC Step-Down Converter, Integrated, 2.9 to 5.5 V, 4 A, Switches Up to 2 MHz</t>
  </si>
  <si>
    <t>2.9</t>
  </si>
  <si>
    <t>0.6 to 5</t>
  </si>
  <si>
    <t>500 to 2000</t>
  </si>
  <si>
    <t>WQFN-24</t>
  </si>
  <si>
    <t>Synchronous Buck Regulator, 1 MHz, 1.5 A</t>
  </si>
  <si>
    <t>0.8 to 4.95</t>
  </si>
  <si>
    <t>DFN-6</t>
  </si>
  <si>
    <t>Synchronous Buck Converter, 1 MHz, 2.0 A</t>
  </si>
  <si>
    <t>Synchronous Buck Converter, 1 MHz, 3.0 A</t>
  </si>
  <si>
    <t>Boost / Buck / Inverting Converter, Switching Regulator, 1.5 A</t>
  </si>
  <si>
    <t>Boost / Buck / Inverting Converter, Switching Regulator, 1.5 A, with On / Off Function</t>
  </si>
  <si>
    <t>Buck / Boost / Inverting Regulator, Switching, Constant Current, 1.5 A, for HB-LEDs</t>
  </si>
  <si>
    <t>Buck / Boost / Inverting Regulator, Switching, Constant Current, 1.5 A, for HB-LEDs with Enable</t>
  </si>
  <si>
    <t>250
Up to 300</t>
  </si>
  <si>
    <t>Synchronous Buck Regulator, PWM, 6.0 A</t>
  </si>
  <si>
    <t>5.5
13.2
18</t>
  </si>
  <si>
    <t>0.8 to 5.0</t>
  </si>
  <si>
    <t>3 A Integrated Synchronous Buck Converter</t>
  </si>
  <si>
    <t>91</t>
  </si>
  <si>
    <t>2.9V to  5.5V, 5A Integrated Synchronous DC-DC Step Down Converter</t>
  </si>
  <si>
    <t>0.6 to 0.8Vin</t>
  </si>
  <si>
    <t>1100</t>
  </si>
  <si>
    <t>Integrated Synchronous DC-DC Step Down Converter, 2.9 V to  5.5 V, 5 A</t>
  </si>
  <si>
    <t>Buck / Boost / Inverting Regulator, Switching, 3.4 A, 300 kHz</t>
  </si>
  <si>
    <t>DFN-18
SOIC-16 WB EP</t>
  </si>
  <si>
    <t>Buck Regulator, Switching, PWM, 3.0 A</t>
  </si>
  <si>
    <t>13.2
18</t>
  </si>
  <si>
    <t>1.25 to 5.0</t>
  </si>
  <si>
    <t>500
1000</t>
  </si>
  <si>
    <t>DC/DC Converter, 4.5 V to 18 V, 30 A</t>
  </si>
  <si>
    <t>500</t>
  </si>
  <si>
    <t>High Current Synchronous Buck Converter</t>
  </si>
  <si>
    <t>94</t>
  </si>
  <si>
    <t>High Current, 1MHz, Synchronous Buck Converter</t>
  </si>
  <si>
    <t>87</t>
  </si>
  <si>
    <t>21</t>
  </si>
  <si>
    <t>Step Down Converter Operates from 3V to 21V and delivers up to 20A</t>
  </si>
  <si>
    <t>4.5 V to 23 V, DC/DC Converter with Integrated MOSFETs</t>
  </si>
  <si>
    <t>up to 97</t>
  </si>
  <si>
    <t>550, 1100</t>
  </si>
  <si>
    <t>80V, 6A Synchronous Step Down Converter in a compact 6mm by 6mm package</t>
  </si>
  <si>
    <t>QFN-19</t>
  </si>
  <si>
    <t>LED Driver, Boost, Compact Backlight</t>
  </si>
  <si>
    <t>Synchronous Buck Regulator, Integrated, 2.0 A, 1.0 MHz, with Light Load Efficiency</t>
  </si>
  <si>
    <t>Up to 90</t>
  </si>
  <si>
    <t>Synchronous Buck Converter, 3 MHz, 2.0 A</t>
  </si>
  <si>
    <t>Mini Buck Converter for RF Power Amplifiers</t>
  </si>
  <si>
    <t>0.6 to 3.4</t>
  </si>
  <si>
    <t>LDO Regulator, Dual, 4-Channel PMIC, Dual DC-DC Converters</t>
  </si>
  <si>
    <t>WQFN-20</t>
  </si>
  <si>
    <t>Power Management IC (PMIC), 7 Channels, with 2 DC-DC Converters and 5 LDOs</t>
  </si>
  <si>
    <t>WLCSP-36</t>
  </si>
  <si>
    <t>Secondary Synchronous Rectifier Driver for Forward Converters</t>
  </si>
  <si>
    <t>14</t>
  </si>
  <si>
    <t>Automotive High-Voltage Switcher for low Power offline SMPS</t>
  </si>
  <si>
    <t>Automotive High-Voltage Switcher for low Power SMPS</t>
  </si>
  <si>
    <r>
      <t>DC-DC&amp;PMIC</t>
    </r>
    <r>
      <rPr>
        <sz val="10"/>
        <rFont val="宋体"/>
        <charset val="134"/>
      </rPr>
      <t>转换器</t>
    </r>
    <phoneticPr fontId="8" type="noConversion"/>
  </si>
  <si>
    <t>Buck Converter, Switching Regulator, Adjustable Output Voltage, 1.0 A</t>
  </si>
  <si>
    <t>5
12</t>
  </si>
  <si>
    <t>D&lt;sup&gt;2&lt;/sup&gt;PAK-5</t>
  </si>
  <si>
    <t>Buck / Boost / Inverting Converter, Switching Regulator, 1.5 A</t>
  </si>
  <si>
    <t>Buck / Boost / Inverting Converter, Switching Regulator, 1.5 A, with On/Off Function</t>
  </si>
  <si>
    <t>Buck / Boost / Inverting Converter, Switching Regulator, 3.4 A, 50-300 kHz</t>
  </si>
  <si>
    <t>Buck / Boost / Inverting Converter, Switching Regulator, 2.5 A</t>
  </si>
  <si>
    <t>60</t>
  </si>
  <si>
    <t>Up to 250</t>
  </si>
  <si>
    <t>Buck Converter, Low Voltage, 1.5 A, 260 kHz, with Synchronization Capabilities</t>
  </si>
  <si>
    <t>260</t>
  </si>
  <si>
    <t>DFN-18
SOIC-16W
SOIC-8</t>
  </si>
  <si>
    <t>Boost Converter, 280 kHz, 1.5 A, for Automotive</t>
  </si>
  <si>
    <t>Up to 30</t>
  </si>
  <si>
    <t>1.5 A, 560 kHz Boost Regulator (Pos) (Automotive)</t>
  </si>
  <si>
    <t>Synchronous Buck Converter, 3 MHz, 2 A</t>
  </si>
  <si>
    <t>WDFN-8
WDFNW-8</t>
  </si>
  <si>
    <t>3.0 MHz, 2.0 A PFM/PWM Synchronous Step Down Converter with Power Good</t>
  </si>
  <si>
    <t>Synchronous Buck Converter, Processor Supply, I2C Programming, Transient Load Helper, 5.0 A</t>
  </si>
  <si>
    <t>1.15
1.2</t>
  </si>
  <si>
    <t>2740</t>
  </si>
  <si>
    <t>Synchronous Buck Converter, Processor Supply, I2C Programming, 5.0 A</t>
  </si>
  <si>
    <t>0.875
1.15
1.2</t>
  </si>
  <si>
    <t>5
6.8</t>
  </si>
  <si>
    <t>WDFNW-14</t>
  </si>
  <si>
    <t>0.9
1.25
1.8</t>
  </si>
  <si>
    <t>Buck Regulator, 1.5 A, 340 kHz, with Synchronization Capability</t>
  </si>
  <si>
    <t>1.46</t>
  </si>
  <si>
    <t>DFN-18</t>
  </si>
  <si>
    <t>LDO Regulator, 1.5 A, Low Dropout</t>
  </si>
  <si>
    <t>Adj</t>
  </si>
  <si>
    <t>SOIC-16 WB EP</t>
  </si>
  <si>
    <t>Automotive Switching Regulator, Buck, 1.2 A, 2 MHz</t>
  </si>
  <si>
    <t>DFN-8
SOIC-8 EP</t>
  </si>
  <si>
    <t>2200</t>
  </si>
  <si>
    <t>Automotive Switching Regulator, Buck, 1.2 A, 2 MHz, Reset, Adjustable Delay</t>
  </si>
  <si>
    <t>Automotive Switching Regulator, Buck, 1.2 A, 2 MHz, Spread Spectrum</t>
  </si>
  <si>
    <t>DFN-12</t>
  </si>
  <si>
    <t>Automotive Switching Regulator, 1.2 A, 2 MHz, 45 V Load Dump</t>
  </si>
  <si>
    <t>Automotive Buck Switching Regulator, 1.2 A, 2 MHz, 45 V Load Dump, Sync In and Sync Out</t>
  </si>
  <si>
    <t>Automotive Switching Regulator, Buck, 2 A, 2 MHz</t>
  </si>
  <si>
    <t>SOIC-8 EP</t>
  </si>
  <si>
    <t>Automotive Switching Regulator, Buck, 2.0 A, 2 MHz, Reset, Adjustable Delay</t>
  </si>
  <si>
    <t>Automotive Switching Regulator, Buck, 2.0 A, 2 MHz, Spread Spectrum</t>
  </si>
  <si>
    <t>Automotive Buck Switching Regulator, 2 A, 2 MHz , 45 V Load Dump</t>
  </si>
  <si>
    <t>Automotive 0.6 A 2 MHz 100% Duty Cycle Step-Down Synchronous Regulator</t>
  </si>
  <si>
    <t>3.5</t>
  </si>
  <si>
    <t>2.5
3.3
5</t>
  </si>
  <si>
    <t>74
77
83</t>
  </si>
  <si>
    <t>DFN-8</t>
  </si>
  <si>
    <t>1.2 A, 2 MHz Low-I&lt;sub&gt;q&lt;/sub&gt; Dual-Mode Step-Down Regulator for Automotive</t>
  </si>
  <si>
    <t>3.7</t>
  </si>
  <si>
    <t>3.3
4
5</t>
  </si>
  <si>
    <t>Step-Down Regulator, Dual-Mode, 2 MHz Low-IQ</t>
  </si>
  <si>
    <t>3.3
5</t>
  </si>
  <si>
    <t>3 A, 2 MHz Low-I&lt;sub&gt;q&lt;/sub&gt; Dual-Mode Step-Down Regulator for Automotive</t>
  </si>
  <si>
    <t>3.3
3.8
4
5</t>
  </si>
  <si>
    <t>Dual Output Buck Converter, Low Voltage, 2.1 MHz</t>
  </si>
  <si>
    <t>Multi-output Power Management Unit (PMU) with 3 Buck Regulators</t>
  </si>
  <si>
    <t>1.2 - 5</t>
  </si>
  <si>
    <r>
      <t>DC-DC&amp;PMIC</t>
    </r>
    <r>
      <rPr>
        <sz val="10"/>
        <rFont val="宋体"/>
        <charset val="134"/>
      </rPr>
      <t>转换器</t>
    </r>
    <phoneticPr fontId="8" type="noConversion"/>
  </si>
  <si>
    <r>
      <t>DC-DC&amp;PMIC</t>
    </r>
    <r>
      <rPr>
        <sz val="10"/>
        <rFont val="宋体"/>
        <charset val="134"/>
      </rPr>
      <t>转换器</t>
    </r>
    <phoneticPr fontId="8" type="noConversion"/>
  </si>
  <si>
    <r>
      <t>DC-DC&amp;PMIC</t>
    </r>
    <r>
      <rPr>
        <sz val="10"/>
        <rFont val="宋体"/>
        <charset val="134"/>
      </rPr>
      <t>转换器</t>
    </r>
    <phoneticPr fontId="8" type="noConversion"/>
  </si>
  <si>
    <r>
      <t>DC-DC&amp;PMIC</t>
    </r>
    <r>
      <rPr>
        <sz val="10"/>
        <rFont val="宋体"/>
        <charset val="134"/>
      </rPr>
      <t>转换器</t>
    </r>
    <phoneticPr fontId="8" type="noConversion"/>
  </si>
  <si>
    <r>
      <t>DC-DC&amp;PMIC</t>
    </r>
    <r>
      <rPr>
        <sz val="10"/>
        <rFont val="宋体"/>
        <charset val="134"/>
      </rPr>
      <t>转换器</t>
    </r>
    <phoneticPr fontId="8" type="noConversion"/>
  </si>
  <si>
    <r>
      <t>DC-DC&amp;PMIC</t>
    </r>
    <r>
      <rPr>
        <sz val="10"/>
        <rFont val="宋体"/>
        <charset val="134"/>
      </rPr>
      <t>转换器</t>
    </r>
    <phoneticPr fontId="8" type="noConversion"/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</si>
</sst>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宋体"/>
      <charset val="134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0" fontId="4" fillId="2" borderId="0" xfId="0" applyFont="1" applyFill="1"/>
    <xf numFmtId="0" fontId="5" fillId="0" borderId="0" xfId="0" applyFont="1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3"/>
  <sheetViews>
    <sheetView tabSelected="1" workbookViewId="0">
      <pane ySplit="1" topLeftCell="A2" activePane="bottomLeft" state="frozen"/>
      <selection pane="bottomLeft" activeCell="E1" sqref="E1:E65536"/>
    </sheetView>
  </sheetViews>
  <sheetFormatPr defaultRowHeight="12.75"/>
  <cols>
    <col min="1" max="1" width="15" customWidth="1"/>
    <col min="2" max="16" width="18" customWidth="1"/>
  </cols>
  <sheetData>
    <row r="1" spans="1:16">
      <c r="A1" s="3" t="s">
        <v>315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317</v>
      </c>
      <c r="M1" s="1" t="s">
        <v>318</v>
      </c>
      <c r="N1" s="1" t="s">
        <v>319</v>
      </c>
      <c r="O1" s="1" t="s">
        <v>10</v>
      </c>
      <c r="P1" s="1" t="s">
        <v>11</v>
      </c>
    </row>
    <row r="2" spans="1:16" ht="38.25">
      <c r="A2" s="4" t="s">
        <v>316</v>
      </c>
      <c r="B2" t="str">
        <f>HYPERLINK("https://www.onsemi.com/PowerSolutions/product.do?id=NCV8871","NCV8871")</f>
        <v>NCV8871</v>
      </c>
      <c r="C2" t="str">
        <f>HYPERLINK("https://www.onsemi.com/pub/Collateral/NCV8871-D.PDF","NCV8871/D (284kB)")</f>
        <v>NCV8871/D (284kB)</v>
      </c>
      <c r="D2" t="s">
        <v>12</v>
      </c>
      <c r="E2" s="2" t="s">
        <v>13</v>
      </c>
      <c r="F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/>
      <c r="M2" s="2"/>
      <c r="N2" s="2"/>
      <c r="O2" s="2" t="s">
        <v>20</v>
      </c>
      <c r="P2" s="2" t="s">
        <v>21</v>
      </c>
    </row>
    <row r="3" spans="1:16" ht="25.5">
      <c r="A3" s="4" t="s">
        <v>316</v>
      </c>
      <c r="B3" t="str">
        <f>HYPERLINK("https://www.onsemi.com/PowerSolutions/product.do?id=NCP6992","NCP6992")</f>
        <v>NCP6992</v>
      </c>
      <c r="C3" t="str">
        <f>HYPERLINK("https://www.onsemi.com/pub/Collateral/NCP6992A-D.PDF","NCP6992A/D (2080kB)")</f>
        <v>NCP6992A/D (2080kB)</v>
      </c>
      <c r="D3" t="s">
        <v>22</v>
      </c>
      <c r="E3" s="2" t="s">
        <v>24</v>
      </c>
      <c r="F3" t="s">
        <v>25</v>
      </c>
      <c r="G3" t="s">
        <v>23</v>
      </c>
      <c r="H3" t="s">
        <v>23</v>
      </c>
      <c r="I3" t="s">
        <v>23</v>
      </c>
      <c r="J3" t="s">
        <v>23</v>
      </c>
      <c r="K3" t="s">
        <v>23</v>
      </c>
      <c r="O3" t="s">
        <v>23</v>
      </c>
      <c r="P3" s="2" t="s">
        <v>26</v>
      </c>
    </row>
    <row r="4" spans="1:16" ht="25.5">
      <c r="A4" s="4" t="s">
        <v>316</v>
      </c>
      <c r="B4" t="str">
        <f>HYPERLINK("https://www.onsemi.com/PowerSolutions/product.do?id=ADP3211","ADP3211")</f>
        <v>ADP3211</v>
      </c>
      <c r="C4" t="str">
        <f>HYPERLINK("https://www.onsemi.com/pub/Collateral/ADP3211-D.PDF","ADP3211/D (519.0kB)")</f>
        <v>ADP3211/D (519.0kB)</v>
      </c>
      <c r="D4" t="s">
        <v>27</v>
      </c>
      <c r="E4" s="2" t="s">
        <v>24</v>
      </c>
      <c r="F4" t="s">
        <v>28</v>
      </c>
      <c r="G4" s="2" t="s">
        <v>29</v>
      </c>
      <c r="H4" s="2" t="s">
        <v>16</v>
      </c>
      <c r="I4" t="s">
        <v>23</v>
      </c>
      <c r="J4" s="2" t="s">
        <v>30</v>
      </c>
      <c r="K4" s="2" t="s">
        <v>31</v>
      </c>
      <c r="L4" s="2"/>
      <c r="M4" s="2"/>
      <c r="N4" s="2"/>
      <c r="O4" t="s">
        <v>23</v>
      </c>
      <c r="P4" s="2" t="s">
        <v>32</v>
      </c>
    </row>
    <row r="5" spans="1:16" ht="51">
      <c r="A5" s="4" t="s">
        <v>316</v>
      </c>
      <c r="B5" t="str">
        <f>HYPERLINK("https://www.onsemi.com/PowerSolutions/product.do?id=CS51021A","CS51021A")</f>
        <v>CS51021A</v>
      </c>
      <c r="C5" t="str">
        <f>HYPERLINK("https://www.onsemi.com/pub/Collateral/CS51021A-D.PDF","CS51021A/D (129.0kB)")</f>
        <v>CS51021A/D (129.0kB)</v>
      </c>
      <c r="D5" t="s">
        <v>33</v>
      </c>
      <c r="E5" s="2" t="s">
        <v>35</v>
      </c>
      <c r="F5" t="s">
        <v>28</v>
      </c>
      <c r="G5" s="2" t="s">
        <v>36</v>
      </c>
      <c r="H5" s="2" t="s">
        <v>16</v>
      </c>
      <c r="I5" s="2" t="s">
        <v>17</v>
      </c>
      <c r="J5" s="2" t="s">
        <v>37</v>
      </c>
      <c r="K5" s="2" t="s">
        <v>38</v>
      </c>
      <c r="L5" s="2"/>
      <c r="M5" s="2"/>
      <c r="N5" s="2"/>
      <c r="O5" s="2" t="s">
        <v>39</v>
      </c>
      <c r="P5" s="2" t="s">
        <v>40</v>
      </c>
    </row>
    <row r="6" spans="1:16" ht="51">
      <c r="A6" s="4" t="s">
        <v>316</v>
      </c>
      <c r="B6" t="str">
        <f>HYPERLINK("https://www.onsemi.com/PowerSolutions/product.do?id=CS51022A","CS51022A")</f>
        <v>CS51022A</v>
      </c>
      <c r="C6" t="str">
        <f>HYPERLINK("https://www.onsemi.com/pub/Collateral/CS51021-D.PDF","CS51021/D (129.0kB)")</f>
        <v>CS51021/D (129.0kB)</v>
      </c>
      <c r="D6" t="s">
        <v>41</v>
      </c>
      <c r="E6" s="2" t="s">
        <v>35</v>
      </c>
      <c r="F6" t="s">
        <v>28</v>
      </c>
      <c r="G6" s="2" t="s">
        <v>29</v>
      </c>
      <c r="H6" s="2" t="s">
        <v>16</v>
      </c>
      <c r="I6" s="2" t="s">
        <v>17</v>
      </c>
      <c r="J6" s="2" t="s">
        <v>37</v>
      </c>
      <c r="K6" s="2" t="s">
        <v>38</v>
      </c>
      <c r="L6" s="2"/>
      <c r="M6" s="2"/>
      <c r="N6" s="2"/>
      <c r="O6" s="2" t="s">
        <v>39</v>
      </c>
      <c r="P6" s="2" t="s">
        <v>42</v>
      </c>
    </row>
    <row r="7" spans="1:16" ht="51">
      <c r="A7" s="4" t="s">
        <v>316</v>
      </c>
      <c r="B7" t="str">
        <f>HYPERLINK("https://www.onsemi.com/PowerSolutions/product.do?id=CS51031","CS51031")</f>
        <v>CS51031</v>
      </c>
      <c r="C7" t="str">
        <f>HYPERLINK("https://www.onsemi.com/pub/Collateral/CS51031-D.PDF","CS51031/D (95.0kB)")</f>
        <v>CS51031/D (95.0kB)</v>
      </c>
      <c r="D7" t="s">
        <v>43</v>
      </c>
      <c r="E7" s="2" t="s">
        <v>35</v>
      </c>
      <c r="F7" t="s">
        <v>28</v>
      </c>
      <c r="G7" s="2" t="s">
        <v>29</v>
      </c>
      <c r="H7" s="2" t="s">
        <v>16</v>
      </c>
      <c r="I7" s="2" t="s">
        <v>44</v>
      </c>
      <c r="J7" s="2" t="s">
        <v>45</v>
      </c>
      <c r="K7" s="2" t="s">
        <v>46</v>
      </c>
      <c r="L7" s="2"/>
      <c r="M7" s="2"/>
      <c r="N7" s="2"/>
      <c r="O7" s="2" t="s">
        <v>47</v>
      </c>
      <c r="P7" s="2" t="s">
        <v>21</v>
      </c>
    </row>
    <row r="8" spans="1:16" ht="51">
      <c r="A8" s="4" t="s">
        <v>316</v>
      </c>
      <c r="B8" t="str">
        <f>HYPERLINK("https://www.onsemi.com/PowerSolutions/product.do?id=CS5124","CS5124")</f>
        <v>CS5124</v>
      </c>
      <c r="C8" t="str">
        <f>HYPERLINK("https://www.onsemi.com/pub/Collateral/CS5124-D.PDF","CS5124/D (168.0kB)")</f>
        <v>CS5124/D (168.0kB)</v>
      </c>
      <c r="D8" t="s">
        <v>48</v>
      </c>
      <c r="E8" s="2" t="s">
        <v>49</v>
      </c>
      <c r="F8" t="s">
        <v>28</v>
      </c>
      <c r="G8" s="2" t="s">
        <v>50</v>
      </c>
      <c r="H8" s="2" t="s">
        <v>16</v>
      </c>
      <c r="I8" s="2" t="s">
        <v>17</v>
      </c>
      <c r="J8" s="2" t="s">
        <v>51</v>
      </c>
      <c r="K8" s="2" t="s">
        <v>52</v>
      </c>
      <c r="L8" s="2"/>
      <c r="M8" s="2"/>
      <c r="N8" s="2"/>
      <c r="O8" s="2" t="s">
        <v>53</v>
      </c>
      <c r="P8" s="2" t="s">
        <v>21</v>
      </c>
    </row>
    <row r="9" spans="1:16" ht="25.5">
      <c r="A9" s="4" t="s">
        <v>316</v>
      </c>
      <c r="B9" t="str">
        <f>HYPERLINK("https://www.onsemi.com/PowerSolutions/product.do?id=FAN102","FAN102")</f>
        <v>FAN102</v>
      </c>
      <c r="C9" t="str">
        <f>HYPERLINK("https://www.onsemi.com/pub/Collateral/FAN102-D.pdf","FAN102/D (1041kB)")</f>
        <v>FAN102/D (1041kB)</v>
      </c>
      <c r="D9" t="s">
        <v>54</v>
      </c>
      <c r="E9" s="2" t="s">
        <v>24</v>
      </c>
      <c r="F9" t="s">
        <v>28</v>
      </c>
      <c r="G9" s="2" t="s">
        <v>55</v>
      </c>
      <c r="H9" s="2" t="s">
        <v>16</v>
      </c>
      <c r="I9" s="2" t="s">
        <v>17</v>
      </c>
      <c r="J9" s="2" t="s">
        <v>56</v>
      </c>
      <c r="K9" s="2" t="s">
        <v>57</v>
      </c>
      <c r="L9" s="2"/>
      <c r="M9" s="2"/>
      <c r="N9" s="2"/>
      <c r="O9" s="2" t="s">
        <v>58</v>
      </c>
      <c r="P9" s="2" t="s">
        <v>21</v>
      </c>
    </row>
    <row r="10" spans="1:16" ht="25.5">
      <c r="A10" s="4" t="s">
        <v>316</v>
      </c>
      <c r="B10" t="str">
        <f>HYPERLINK("https://www.onsemi.com/PowerSolutions/product.do?id=FAN103W","FAN103W")</f>
        <v>FAN103W</v>
      </c>
      <c r="C10" t="str">
        <f>HYPERLINK("https://www.onsemi.com/pub/Collateral/FAN103W-D.pdf","FAN103W/D (1085kB)")</f>
        <v>FAN103W/D (1085kB)</v>
      </c>
      <c r="D10" t="s">
        <v>59</v>
      </c>
      <c r="E10" s="2" t="s">
        <v>24</v>
      </c>
      <c r="F10" t="s">
        <v>28</v>
      </c>
      <c r="G10" s="2" t="s">
        <v>55</v>
      </c>
      <c r="H10" s="2" t="s">
        <v>16</v>
      </c>
      <c r="I10" s="2" t="s">
        <v>17</v>
      </c>
      <c r="J10" s="2" t="s">
        <v>56</v>
      </c>
      <c r="K10" s="2" t="s">
        <v>57</v>
      </c>
      <c r="L10" s="2"/>
      <c r="M10" s="2"/>
      <c r="N10" s="2"/>
      <c r="O10" s="2" t="s">
        <v>60</v>
      </c>
      <c r="P10" s="2" t="s">
        <v>21</v>
      </c>
    </row>
    <row r="11" spans="1:16" ht="25.5">
      <c r="A11" s="4" t="s">
        <v>316</v>
      </c>
      <c r="B11" t="str">
        <f>HYPERLINK("https://www.onsemi.com/PowerSolutions/product.do?id=FAN302HLMY_F117","FAN302HLMY_F117")</f>
        <v>FAN302HLMY_F117</v>
      </c>
      <c r="C11" t="str">
        <f>HYPERLINK("https://www.onsemi.com/pub/Collateral/FAN302HLMY-F117-D.pdf","FAN302HLMY_F117/D (1084kB)")</f>
        <v>FAN302HLMY_F117/D (1084kB)</v>
      </c>
      <c r="D11" t="s">
        <v>61</v>
      </c>
      <c r="E11" s="2" t="s">
        <v>24</v>
      </c>
      <c r="F11" t="s">
        <v>28</v>
      </c>
      <c r="G11" t="s">
        <v>23</v>
      </c>
      <c r="H11" t="s">
        <v>23</v>
      </c>
      <c r="I11" t="s">
        <v>23</v>
      </c>
      <c r="J11" s="2" t="s">
        <v>56</v>
      </c>
      <c r="K11" s="2" t="s">
        <v>57</v>
      </c>
      <c r="L11" s="2"/>
      <c r="M11" s="2"/>
      <c r="N11" s="2"/>
      <c r="O11" t="s">
        <v>23</v>
      </c>
      <c r="P11" s="2" t="s">
        <v>21</v>
      </c>
    </row>
    <row r="12" spans="1:16" ht="25.5">
      <c r="A12" s="4" t="s">
        <v>316</v>
      </c>
      <c r="B12" t="str">
        <f>HYPERLINK("https://www.onsemi.com/PowerSolutions/product.do?id=FAN302UL","FAN302UL")</f>
        <v>FAN302UL</v>
      </c>
      <c r="C12" t="str">
        <f>HYPERLINK("https://www.onsemi.com/pub/Collateral/FAN302UL-D.pdf","FAN302UL/D (1408kB)")</f>
        <v>FAN302UL/D (1408kB)</v>
      </c>
      <c r="D12" t="s">
        <v>54</v>
      </c>
      <c r="E12" s="2" t="s">
        <v>24</v>
      </c>
      <c r="F12" t="s">
        <v>28</v>
      </c>
      <c r="G12" t="s">
        <v>23</v>
      </c>
      <c r="H12" t="s">
        <v>23</v>
      </c>
      <c r="I12" t="s">
        <v>23</v>
      </c>
      <c r="J12" s="2" t="s">
        <v>56</v>
      </c>
      <c r="K12" s="2" t="s">
        <v>57</v>
      </c>
      <c r="L12" s="2"/>
      <c r="M12" s="2"/>
      <c r="N12" s="2"/>
      <c r="O12" t="s">
        <v>23</v>
      </c>
      <c r="P12" s="2" t="s">
        <v>21</v>
      </c>
    </row>
    <row r="13" spans="1:16" ht="25.5">
      <c r="A13" s="4" t="s">
        <v>316</v>
      </c>
      <c r="B13" t="str">
        <f>HYPERLINK("https://www.onsemi.com/PowerSolutions/product.do?id=FAN400A","FAN400A")</f>
        <v>FAN400A</v>
      </c>
      <c r="C13" t="str">
        <f>HYPERLINK("https://www.onsemi.com/pub/Collateral/FAN400A-D.pdf","FAN400A/D (665kB)")</f>
        <v>FAN400A/D (665kB)</v>
      </c>
      <c r="D13" t="s">
        <v>62</v>
      </c>
      <c r="E13" s="2" t="s">
        <v>24</v>
      </c>
      <c r="F13" t="s">
        <v>28</v>
      </c>
      <c r="G13" s="2" t="s">
        <v>55</v>
      </c>
      <c r="H13" s="2" t="s">
        <v>16</v>
      </c>
      <c r="I13" s="2" t="s">
        <v>17</v>
      </c>
      <c r="J13" s="2" t="s">
        <v>46</v>
      </c>
      <c r="K13" s="2" t="s">
        <v>63</v>
      </c>
      <c r="L13" s="2"/>
      <c r="M13" s="2"/>
      <c r="N13" s="2"/>
      <c r="O13" s="2" t="s">
        <v>64</v>
      </c>
      <c r="P13" s="2" t="s">
        <v>65</v>
      </c>
    </row>
    <row r="14" spans="1:16" ht="25.5">
      <c r="A14" s="4" t="s">
        <v>316</v>
      </c>
      <c r="B14" t="str">
        <f>HYPERLINK("https://www.onsemi.com/PowerSolutions/product.do?id=FAN501","FAN501")</f>
        <v>FAN501</v>
      </c>
      <c r="C14" t="str">
        <f>HYPERLINK("https://www.onsemi.com/pub/Collateral/FAN501-D.pdf","FAN501/D (1172kB)")</f>
        <v>FAN501/D (1172kB)</v>
      </c>
      <c r="D14" t="s">
        <v>66</v>
      </c>
      <c r="E14" s="2" t="s">
        <v>24</v>
      </c>
      <c r="F14" t="s">
        <v>28</v>
      </c>
      <c r="G14" t="s">
        <v>23</v>
      </c>
      <c r="H14" t="s">
        <v>23</v>
      </c>
      <c r="I14" t="s">
        <v>23</v>
      </c>
      <c r="J14" t="s">
        <v>23</v>
      </c>
      <c r="K14" t="s">
        <v>23</v>
      </c>
      <c r="O14" t="s">
        <v>23</v>
      </c>
      <c r="P14" s="2" t="s">
        <v>67</v>
      </c>
    </row>
    <row r="15" spans="1:16" ht="25.5">
      <c r="A15" s="4" t="s">
        <v>316</v>
      </c>
      <c r="B15" t="str">
        <f>HYPERLINK("https://www.onsemi.com/PowerSolutions/product.do?id=FAN501A","FAN501A")</f>
        <v>FAN501A</v>
      </c>
      <c r="C15" t="str">
        <f>HYPERLINK("https://www.onsemi.com/pub/Collateral/FAN501A-D.pdf","FAN501A/D (1413kB)")</f>
        <v>FAN501A/D (1413kB)</v>
      </c>
      <c r="D15" t="s">
        <v>66</v>
      </c>
      <c r="E15" s="2" t="s">
        <v>24</v>
      </c>
      <c r="F15" t="s">
        <v>28</v>
      </c>
      <c r="G15" t="s">
        <v>23</v>
      </c>
      <c r="H15" t="s">
        <v>23</v>
      </c>
      <c r="I15" t="s">
        <v>23</v>
      </c>
      <c r="J15" s="2" t="s">
        <v>46</v>
      </c>
      <c r="K15" s="2" t="s">
        <v>68</v>
      </c>
      <c r="L15" s="2"/>
      <c r="M15" s="2"/>
      <c r="N15" s="2"/>
      <c r="O15" t="s">
        <v>23</v>
      </c>
      <c r="P15" s="2" t="s">
        <v>67</v>
      </c>
    </row>
    <row r="16" spans="1:16">
      <c r="A16" s="4" t="s">
        <v>316</v>
      </c>
      <c r="B16" t="str">
        <f>HYPERLINK("https://www.onsemi.com/PowerSolutions/product.do?id=FAN5026","FAN5026")</f>
        <v>FAN5026</v>
      </c>
      <c r="C16" t="str">
        <f>HYPERLINK("https://www.onsemi.com/pub/Collateral/FAN5026-D.pdf","FAN5026/D (811kB)")</f>
        <v>FAN5026/D (811kB)</v>
      </c>
      <c r="D16" t="s">
        <v>69</v>
      </c>
      <c r="E16" s="2" t="s">
        <v>70</v>
      </c>
      <c r="F16" t="s">
        <v>28</v>
      </c>
      <c r="G16" s="2" t="s">
        <v>29</v>
      </c>
      <c r="H16" t="s">
        <v>23</v>
      </c>
      <c r="I16" t="s">
        <v>23</v>
      </c>
      <c r="J16" t="s">
        <v>23</v>
      </c>
      <c r="K16" t="s">
        <v>23</v>
      </c>
      <c r="O16" t="s">
        <v>23</v>
      </c>
      <c r="P16" s="2" t="s">
        <v>71</v>
      </c>
    </row>
    <row r="17" spans="1:16">
      <c r="A17" s="4" t="s">
        <v>316</v>
      </c>
      <c r="B17" t="str">
        <f>HYPERLINK("https://www.onsemi.com/PowerSolutions/product.do?id=FAN5069","FAN5069")</f>
        <v>FAN5069</v>
      </c>
      <c r="C17" t="str">
        <f>HYPERLINK("https://www.onsemi.com/pub/Collateral/FAN5069-D.pdf","FAN5069/D (547kB)")</f>
        <v>FAN5069/D (547kB)</v>
      </c>
      <c r="D17" t="s">
        <v>72</v>
      </c>
      <c r="E17" s="2" t="s">
        <v>70</v>
      </c>
      <c r="F17" t="s">
        <v>28</v>
      </c>
      <c r="G17" s="2" t="s">
        <v>29</v>
      </c>
      <c r="H17" t="s">
        <v>23</v>
      </c>
      <c r="I17" t="s">
        <v>23</v>
      </c>
      <c r="J17" t="s">
        <v>23</v>
      </c>
      <c r="K17" t="s">
        <v>23</v>
      </c>
      <c r="O17" t="s">
        <v>23</v>
      </c>
      <c r="P17" s="2" t="s">
        <v>73</v>
      </c>
    </row>
    <row r="18" spans="1:16">
      <c r="A18" s="4" t="s">
        <v>316</v>
      </c>
      <c r="B18" t="str">
        <f>HYPERLINK("https://www.onsemi.com/PowerSolutions/product.do?id=FAN5234","FAN5234")</f>
        <v>FAN5234</v>
      </c>
      <c r="C18" t="str">
        <f>HYPERLINK("https://www.onsemi.com/pub/Collateral/FAN5234-D.pdf","FAN5234/D (418kB)")</f>
        <v>FAN5234/D (418kB)</v>
      </c>
      <c r="D18" t="s">
        <v>74</v>
      </c>
      <c r="E18" s="2" t="s">
        <v>70</v>
      </c>
      <c r="F18" t="s">
        <v>28</v>
      </c>
      <c r="G18" s="2" t="s">
        <v>29</v>
      </c>
      <c r="H18" t="s">
        <v>23</v>
      </c>
      <c r="I18" t="s">
        <v>23</v>
      </c>
      <c r="J18" t="s">
        <v>23</v>
      </c>
      <c r="K18" t="s">
        <v>23</v>
      </c>
      <c r="O18" t="s">
        <v>23</v>
      </c>
      <c r="P18" s="2" t="s">
        <v>73</v>
      </c>
    </row>
    <row r="19" spans="1:16">
      <c r="A19" s="4" t="s">
        <v>316</v>
      </c>
      <c r="B19" t="str">
        <f>HYPERLINK("https://www.onsemi.com/PowerSolutions/product.do?id=FAN5236","FAN5236")</f>
        <v>FAN5236</v>
      </c>
      <c r="C19" t="str">
        <f>HYPERLINK("https://www.onsemi.com/pub/Collateral/FAN5236-D.PDF","FAN5236/D (447kB)")</f>
        <v>FAN5236/D (447kB)</v>
      </c>
      <c r="D19" t="s">
        <v>75</v>
      </c>
      <c r="E19" s="2" t="s">
        <v>70</v>
      </c>
      <c r="F19" t="s">
        <v>28</v>
      </c>
      <c r="G19" s="2" t="s">
        <v>29</v>
      </c>
      <c r="H19" t="s">
        <v>23</v>
      </c>
      <c r="I19" t="s">
        <v>23</v>
      </c>
      <c r="J19" t="s">
        <v>23</v>
      </c>
      <c r="K19" t="s">
        <v>23</v>
      </c>
      <c r="O19" t="s">
        <v>23</v>
      </c>
      <c r="P19" s="2" t="s">
        <v>71</v>
      </c>
    </row>
    <row r="20" spans="1:16" ht="25.5">
      <c r="A20" s="4" t="s">
        <v>316</v>
      </c>
      <c r="B20" t="str">
        <f>HYPERLINK("https://www.onsemi.com/PowerSolutions/product.do?id=FAN602F","FAN602F")</f>
        <v>FAN602F</v>
      </c>
      <c r="C20" t="str">
        <f>HYPERLINK("https://www.onsemi.com/pub/Collateral/FAN602F-D.pdf","FAN602F/D (1678kB)")</f>
        <v>FAN602F/D (1678kB)</v>
      </c>
      <c r="D20" t="s">
        <v>76</v>
      </c>
      <c r="E20" s="2" t="s">
        <v>24</v>
      </c>
      <c r="F20" t="s">
        <v>28</v>
      </c>
      <c r="G20" t="s">
        <v>23</v>
      </c>
      <c r="H20" t="s">
        <v>23</v>
      </c>
      <c r="I20" t="s">
        <v>23</v>
      </c>
      <c r="J20" t="s">
        <v>23</v>
      </c>
      <c r="K20" t="s">
        <v>23</v>
      </c>
      <c r="O20" t="s">
        <v>23</v>
      </c>
      <c r="P20" s="2" t="s">
        <v>77</v>
      </c>
    </row>
    <row r="21" spans="1:16" ht="25.5">
      <c r="A21" s="4" t="s">
        <v>316</v>
      </c>
      <c r="B21" t="str">
        <f>HYPERLINK("https://www.onsemi.com/PowerSolutions/product.do?id=FAN602L","FAN602L")</f>
        <v>FAN602L</v>
      </c>
      <c r="C21" t="str">
        <f>HYPERLINK("https://www.onsemi.com/pub/Collateral/FAN602L-D.pdf","FAN602L/D (1632kB)")</f>
        <v>FAN602L/D (1632kB)</v>
      </c>
      <c r="D21" t="s">
        <v>76</v>
      </c>
      <c r="E21" s="2" t="s">
        <v>24</v>
      </c>
      <c r="F21" t="s">
        <v>28</v>
      </c>
      <c r="G21" t="s">
        <v>23</v>
      </c>
      <c r="H21" t="s">
        <v>23</v>
      </c>
      <c r="I21" t="s">
        <v>23</v>
      </c>
      <c r="J21" t="s">
        <v>23</v>
      </c>
      <c r="K21" t="s">
        <v>23</v>
      </c>
      <c r="O21" t="s">
        <v>23</v>
      </c>
      <c r="P21" s="2" t="s">
        <v>77</v>
      </c>
    </row>
    <row r="22" spans="1:16" ht="25.5">
      <c r="A22" s="4" t="s">
        <v>316</v>
      </c>
      <c r="B22" t="str">
        <f>HYPERLINK("https://www.onsemi.com/PowerSolutions/product.do?id=FAN6300A","FAN6300A")</f>
        <v>FAN6300A</v>
      </c>
      <c r="C22" t="str">
        <f>HYPERLINK("https://www.onsemi.com/pub/Collateral/FAN6300H-D.pdf","FAN6300H/D (784kB)")</f>
        <v>FAN6300H/D (784kB)</v>
      </c>
      <c r="D22" t="s">
        <v>78</v>
      </c>
      <c r="E22" s="2" t="s">
        <v>24</v>
      </c>
      <c r="F22" t="s">
        <v>28</v>
      </c>
      <c r="G22" s="2" t="s">
        <v>55</v>
      </c>
      <c r="H22" s="2" t="s">
        <v>16</v>
      </c>
      <c r="I22" s="2" t="s">
        <v>17</v>
      </c>
      <c r="J22" s="2" t="s">
        <v>56</v>
      </c>
      <c r="K22" s="2" t="s">
        <v>57</v>
      </c>
      <c r="L22" s="2"/>
      <c r="M22" s="2"/>
      <c r="N22" s="2"/>
      <c r="O22" s="2" t="s">
        <v>79</v>
      </c>
      <c r="P22" s="2" t="s">
        <v>21</v>
      </c>
    </row>
    <row r="23" spans="1:16" ht="25.5">
      <c r="A23" s="4" t="s">
        <v>316</v>
      </c>
      <c r="B23" t="str">
        <f>HYPERLINK("https://www.onsemi.com/PowerSolutions/product.do?id=FAN6300H","FAN6300H")</f>
        <v>FAN6300H</v>
      </c>
      <c r="C23" t="str">
        <f>HYPERLINK("https://www.onsemi.com/pub/Collateral/FAN6300H-D.pdf","FAN6300H/D (784kB)")</f>
        <v>FAN6300H/D (784kB)</v>
      </c>
      <c r="D23" t="s">
        <v>80</v>
      </c>
      <c r="E23" s="2" t="s">
        <v>24</v>
      </c>
      <c r="F23" t="s">
        <v>28</v>
      </c>
      <c r="G23" s="2" t="s">
        <v>55</v>
      </c>
      <c r="H23" t="s">
        <v>23</v>
      </c>
      <c r="I23" s="2" t="s">
        <v>17</v>
      </c>
      <c r="J23" s="2" t="s">
        <v>56</v>
      </c>
      <c r="K23" s="2" t="s">
        <v>57</v>
      </c>
      <c r="L23" s="2"/>
      <c r="M23" s="2"/>
      <c r="N23" s="2"/>
      <c r="O23" s="2" t="s">
        <v>81</v>
      </c>
      <c r="P23" s="2" t="s">
        <v>21</v>
      </c>
    </row>
    <row r="24" spans="1:16" ht="25.5">
      <c r="A24" s="4" t="s">
        <v>316</v>
      </c>
      <c r="B24" t="str">
        <f>HYPERLINK("https://www.onsemi.com/PowerSolutions/product.do?id=FAN6602R","FAN6602R")</f>
        <v>FAN6602R</v>
      </c>
      <c r="C24" t="str">
        <f>HYPERLINK("https://www.onsemi.com/pub/Collateral/FAN6602R-D.pdf","FAN6602R/D (1575kB)")</f>
        <v>FAN6602R/D (1575kB)</v>
      </c>
      <c r="D24" t="s">
        <v>82</v>
      </c>
      <c r="E24" s="2" t="s">
        <v>24</v>
      </c>
      <c r="F24" t="s">
        <v>28</v>
      </c>
      <c r="G24" s="2" t="s">
        <v>55</v>
      </c>
      <c r="H24" s="2" t="s">
        <v>16</v>
      </c>
      <c r="I24" s="2" t="s">
        <v>17</v>
      </c>
      <c r="J24" s="2" t="s">
        <v>56</v>
      </c>
      <c r="K24" s="2" t="s">
        <v>57</v>
      </c>
      <c r="L24" s="2"/>
      <c r="M24" s="2"/>
      <c r="N24" s="2"/>
      <c r="O24" s="2" t="s">
        <v>64</v>
      </c>
      <c r="P24" s="2" t="s">
        <v>65</v>
      </c>
    </row>
    <row r="25" spans="1:16" ht="25.5">
      <c r="A25" s="4" t="s">
        <v>316</v>
      </c>
      <c r="B25" t="str">
        <f>HYPERLINK("https://www.onsemi.com/PowerSolutions/product.do?id=FAN6604","FAN6604")</f>
        <v>FAN6604</v>
      </c>
      <c r="C25" t="str">
        <f>HYPERLINK("https://www.onsemi.com/pub/Collateral/FAN6604-D.pdf","FAN6604/D (985kB)")</f>
        <v>FAN6604/D (985kB)</v>
      </c>
      <c r="D25" t="s">
        <v>83</v>
      </c>
      <c r="E25" s="2" t="s">
        <v>24</v>
      </c>
      <c r="F25" t="s">
        <v>28</v>
      </c>
      <c r="G25" s="2" t="s">
        <v>55</v>
      </c>
      <c r="H25" s="2" t="s">
        <v>16</v>
      </c>
      <c r="I25" s="2" t="s">
        <v>17</v>
      </c>
      <c r="J25" s="2" t="s">
        <v>46</v>
      </c>
      <c r="K25" s="2" t="s">
        <v>63</v>
      </c>
      <c r="L25" s="2"/>
      <c r="M25" s="2"/>
      <c r="N25" s="2"/>
      <c r="O25" s="2" t="s">
        <v>64</v>
      </c>
      <c r="P25" s="2" t="s">
        <v>21</v>
      </c>
    </row>
    <row r="26" spans="1:16" ht="25.5">
      <c r="A26" s="4" t="s">
        <v>316</v>
      </c>
      <c r="B26" t="str">
        <f>HYPERLINK("https://www.onsemi.com/PowerSolutions/product.do?id=FAN6605","FAN6605")</f>
        <v>FAN6605</v>
      </c>
      <c r="C26" t="str">
        <f>HYPERLINK("https://www.onsemi.com/pub/Collateral/FAN6605-D.pdf","FAN6605/D (1090kB)")</f>
        <v>FAN6605/D (1090kB)</v>
      </c>
      <c r="D26" t="s">
        <v>85</v>
      </c>
      <c r="E26" s="2" t="s">
        <v>24</v>
      </c>
      <c r="F26" t="s">
        <v>28</v>
      </c>
      <c r="G26" s="2" t="s">
        <v>55</v>
      </c>
      <c r="H26" s="2" t="s">
        <v>16</v>
      </c>
      <c r="I26" s="2" t="s">
        <v>17</v>
      </c>
      <c r="J26" s="2" t="s">
        <v>86</v>
      </c>
      <c r="K26" s="2" t="s">
        <v>87</v>
      </c>
      <c r="L26" s="2"/>
      <c r="M26" s="2"/>
      <c r="N26" s="2"/>
      <c r="O26" s="2" t="s">
        <v>64</v>
      </c>
      <c r="P26" s="2" t="s">
        <v>88</v>
      </c>
    </row>
    <row r="27" spans="1:16" ht="25.5">
      <c r="A27" s="4" t="s">
        <v>316</v>
      </c>
      <c r="B27" t="str">
        <f>HYPERLINK("https://www.onsemi.com/PowerSolutions/product.do?id=FAN6754WAMR","FAN6754WAMR")</f>
        <v>FAN6754WAMR</v>
      </c>
      <c r="C27" t="str">
        <f>HYPERLINK("https://www.onsemi.com/pub/Collateral/FAN6754WAMR-D.pdf","FAN6754WAMR/D (1110kB)")</f>
        <v>FAN6754WAMR/D (1110kB)</v>
      </c>
      <c r="D27" t="s">
        <v>83</v>
      </c>
      <c r="E27" s="2" t="s">
        <v>24</v>
      </c>
      <c r="F27" t="s">
        <v>28</v>
      </c>
      <c r="G27" s="2" t="s">
        <v>55</v>
      </c>
      <c r="H27" s="2" t="s">
        <v>16</v>
      </c>
      <c r="I27" s="2" t="s">
        <v>17</v>
      </c>
      <c r="J27" s="2" t="s">
        <v>46</v>
      </c>
      <c r="K27" s="2" t="s">
        <v>63</v>
      </c>
      <c r="L27" s="2"/>
      <c r="M27" s="2"/>
      <c r="N27" s="2"/>
      <c r="O27" s="2" t="s">
        <v>64</v>
      </c>
      <c r="P27" s="2" t="s">
        <v>21</v>
      </c>
    </row>
    <row r="28" spans="1:16" ht="25.5">
      <c r="A28" s="4" t="s">
        <v>316</v>
      </c>
      <c r="B28" t="str">
        <f>HYPERLINK("https://www.onsemi.com/PowerSolutions/product.do?id=FAN7554","FAN7554")</f>
        <v>FAN7554</v>
      </c>
      <c r="C28" t="str">
        <f>HYPERLINK("https://www.onsemi.com/pub/Collateral/FAN7554-D.pdf","FAN7554/D (1093kB)")</f>
        <v>FAN7554/D (1093kB)</v>
      </c>
      <c r="D28" t="s">
        <v>89</v>
      </c>
      <c r="E28" s="2" t="s">
        <v>24</v>
      </c>
      <c r="F28" t="s">
        <v>28</v>
      </c>
      <c r="G28" s="2" t="s">
        <v>90</v>
      </c>
      <c r="H28" t="s">
        <v>23</v>
      </c>
      <c r="I28" s="2" t="s">
        <v>17</v>
      </c>
      <c r="J28" s="2" t="s">
        <v>91</v>
      </c>
      <c r="K28" s="2" t="s">
        <v>92</v>
      </c>
      <c r="L28" s="2"/>
      <c r="M28" s="2"/>
      <c r="N28" s="2"/>
      <c r="O28" s="2" t="s">
        <v>60</v>
      </c>
      <c r="P28" s="2" t="s">
        <v>93</v>
      </c>
    </row>
    <row r="29" spans="1:16" ht="25.5">
      <c r="A29" s="4" t="s">
        <v>316</v>
      </c>
      <c r="B29" t="str">
        <f>HYPERLINK("https://www.onsemi.com/PowerSolutions/product.do?id=FAN7601B","FAN7601B")</f>
        <v>FAN7601B</v>
      </c>
      <c r="C29" t="str">
        <f>HYPERLINK("https://www.onsemi.com/pub/Collateral/FAN7601B-D.pdf","FAN7601B/D (494kB)")</f>
        <v>FAN7601B/D (494kB)</v>
      </c>
      <c r="D29" t="s">
        <v>94</v>
      </c>
      <c r="E29" s="2" t="s">
        <v>24</v>
      </c>
      <c r="F29" t="s">
        <v>28</v>
      </c>
      <c r="G29" s="2" t="s">
        <v>55</v>
      </c>
      <c r="H29" t="s">
        <v>23</v>
      </c>
      <c r="I29" s="2" t="s">
        <v>17</v>
      </c>
      <c r="J29" s="2" t="s">
        <v>86</v>
      </c>
      <c r="K29" s="2" t="s">
        <v>95</v>
      </c>
      <c r="L29" s="2"/>
      <c r="M29" s="2"/>
      <c r="N29" s="2"/>
      <c r="O29" s="2" t="s">
        <v>96</v>
      </c>
      <c r="P29" s="2" t="s">
        <v>21</v>
      </c>
    </row>
    <row r="30" spans="1:16" ht="25.5">
      <c r="A30" s="4" t="s">
        <v>316</v>
      </c>
      <c r="B30" t="str">
        <f>HYPERLINK("https://www.onsemi.com/PowerSolutions/product.do?id=FAN7602C","FAN7602C")</f>
        <v>FAN7602C</v>
      </c>
      <c r="C30" t="str">
        <f>HYPERLINK("https://www.onsemi.com/pub/Collateral/FAN7602C-D.pdf","FAN7602C/D (470kB)")</f>
        <v>FAN7602C/D (470kB)</v>
      </c>
      <c r="D30" t="s">
        <v>97</v>
      </c>
      <c r="E30" s="2" t="s">
        <v>24</v>
      </c>
      <c r="F30" t="s">
        <v>28</v>
      </c>
      <c r="G30" s="2" t="s">
        <v>55</v>
      </c>
      <c r="H30" t="s">
        <v>23</v>
      </c>
      <c r="I30" s="2" t="s">
        <v>17</v>
      </c>
      <c r="J30" s="2" t="s">
        <v>86</v>
      </c>
      <c r="K30" s="2" t="s">
        <v>95</v>
      </c>
      <c r="L30" s="2"/>
      <c r="M30" s="2"/>
      <c r="N30" s="2"/>
      <c r="O30" s="2" t="s">
        <v>64</v>
      </c>
      <c r="P30" s="2" t="s">
        <v>21</v>
      </c>
    </row>
    <row r="31" spans="1:16" ht="25.5">
      <c r="A31" s="4" t="s">
        <v>316</v>
      </c>
      <c r="B31" t="str">
        <f>HYPERLINK("https://www.onsemi.com/PowerSolutions/product.do?id=FAN7688","FAN7688")</f>
        <v>FAN7688</v>
      </c>
      <c r="C31" t="str">
        <f>HYPERLINK("https://www.onsemi.com/pub/Collateral/FAN7688-D.pdf","FAN7688/D (1745kB)")</f>
        <v>FAN7688/D (1745kB)</v>
      </c>
      <c r="D31" t="s">
        <v>98</v>
      </c>
      <c r="E31" s="2" t="s">
        <v>24</v>
      </c>
      <c r="F31" t="s">
        <v>28</v>
      </c>
      <c r="G31" s="2" t="s">
        <v>99</v>
      </c>
      <c r="H31" s="2" t="s">
        <v>16</v>
      </c>
      <c r="I31" s="2" t="s">
        <v>17</v>
      </c>
      <c r="J31" s="2" t="s">
        <v>100</v>
      </c>
      <c r="K31" s="2" t="s">
        <v>86</v>
      </c>
      <c r="L31" s="2"/>
      <c r="M31" s="2"/>
      <c r="N31" s="2"/>
      <c r="O31" s="2" t="s">
        <v>101</v>
      </c>
      <c r="P31" s="2" t="s">
        <v>102</v>
      </c>
    </row>
    <row r="32" spans="1:16" ht="25.5">
      <c r="A32" s="4" t="s">
        <v>316</v>
      </c>
      <c r="B32" t="str">
        <f>HYPERLINK("https://www.onsemi.com/PowerSolutions/product.do?id=FSEZ1016A","FSEZ1016A")</f>
        <v>FSEZ1016A</v>
      </c>
      <c r="C32" t="str">
        <f>HYPERLINK("https://www.onsemi.com/pub/Collateral/FSEZ1016A-D.pdf","FSEZ1016A/D (738kB)")</f>
        <v>FSEZ1016A/D (738kB)</v>
      </c>
      <c r="D32" t="s">
        <v>103</v>
      </c>
      <c r="E32" s="2" t="s">
        <v>24</v>
      </c>
      <c r="F32" t="s">
        <v>28</v>
      </c>
      <c r="G32" s="2" t="s">
        <v>55</v>
      </c>
      <c r="H32" s="2" t="s">
        <v>16</v>
      </c>
      <c r="I32" s="2" t="s">
        <v>17</v>
      </c>
      <c r="J32" s="2" t="s">
        <v>56</v>
      </c>
      <c r="K32" s="2" t="s">
        <v>57</v>
      </c>
      <c r="L32" s="2"/>
      <c r="M32" s="2"/>
      <c r="N32" s="2"/>
      <c r="O32" s="2" t="s">
        <v>104</v>
      </c>
      <c r="P32" s="2" t="s">
        <v>88</v>
      </c>
    </row>
    <row r="33" spans="1:16" ht="25.5">
      <c r="A33" s="4" t="s">
        <v>316</v>
      </c>
      <c r="B33" t="str">
        <f>HYPERLINK("https://www.onsemi.com/PowerSolutions/product.do?id=FSEZ1317WA","FSEZ1317WA")</f>
        <v>FSEZ1317WA</v>
      </c>
      <c r="C33" t="str">
        <f>HYPERLINK("https://www.onsemi.com/pub/Collateral/FSEZ1317WA-D.pdf","FSEZ1317WA/D (672kB)")</f>
        <v>FSEZ1317WA/D (672kB)</v>
      </c>
      <c r="D33" t="s">
        <v>105</v>
      </c>
      <c r="E33" s="2" t="s">
        <v>24</v>
      </c>
      <c r="F33" t="s">
        <v>28</v>
      </c>
      <c r="G33" s="2" t="s">
        <v>55</v>
      </c>
      <c r="H33" s="2" t="s">
        <v>16</v>
      </c>
      <c r="I33" s="2" t="s">
        <v>17</v>
      </c>
      <c r="J33" s="2" t="s">
        <v>56</v>
      </c>
      <c r="K33" s="2" t="s">
        <v>57</v>
      </c>
      <c r="L33" s="2"/>
      <c r="M33" s="2"/>
      <c r="N33" s="2"/>
      <c r="O33" s="2" t="s">
        <v>60</v>
      </c>
      <c r="P33" s="2" t="s">
        <v>106</v>
      </c>
    </row>
    <row r="34" spans="1:16" ht="25.5">
      <c r="A34" s="4" t="s">
        <v>316</v>
      </c>
      <c r="B34" t="str">
        <f>HYPERLINK("https://www.onsemi.com/PowerSolutions/product.do?id=GF001H","GF001H")</f>
        <v>GF001H</v>
      </c>
      <c r="C34" t="str">
        <f>HYPERLINK("https://www.onsemi.com/pub/Collateral/GF001H-D.PDF","GF001H/D (1240kB)")</f>
        <v>GF001H/D (1240kB)</v>
      </c>
      <c r="D34" t="s">
        <v>107</v>
      </c>
      <c r="E34" s="2" t="s">
        <v>24</v>
      </c>
      <c r="F34" t="s">
        <v>28</v>
      </c>
      <c r="G34" t="s">
        <v>23</v>
      </c>
      <c r="H34" t="s">
        <v>23</v>
      </c>
      <c r="I34" t="s">
        <v>23</v>
      </c>
      <c r="J34" t="s">
        <v>23</v>
      </c>
      <c r="K34" t="s">
        <v>23</v>
      </c>
      <c r="O34" t="s">
        <v>23</v>
      </c>
      <c r="P34" s="2" t="s">
        <v>93</v>
      </c>
    </row>
    <row r="35" spans="1:16" ht="25.5">
      <c r="A35" s="4" t="s">
        <v>316</v>
      </c>
      <c r="B35" t="str">
        <f>HYPERLINK("https://www.onsemi.com/PowerSolutions/product.do?id=KA34063","KA34063")</f>
        <v>KA34063</v>
      </c>
      <c r="C35" t="str">
        <f>HYPERLINK("https://www.onsemi.com/pub/Collateral/KA34063-D.pdf","KA34063/D (161kB)")</f>
        <v>KA34063/D (161kB)</v>
      </c>
      <c r="D35" t="s">
        <v>108</v>
      </c>
      <c r="E35" s="2" t="s">
        <v>24</v>
      </c>
      <c r="F35" t="s">
        <v>28</v>
      </c>
      <c r="G35" t="s">
        <v>23</v>
      </c>
      <c r="H35" t="s">
        <v>23</v>
      </c>
      <c r="I35" t="s">
        <v>23</v>
      </c>
      <c r="J35" t="s">
        <v>23</v>
      </c>
      <c r="K35" t="s">
        <v>23</v>
      </c>
      <c r="O35" t="s">
        <v>23</v>
      </c>
      <c r="P35" s="2" t="s">
        <v>93</v>
      </c>
    </row>
    <row r="36" spans="1:16" ht="25.5">
      <c r="A36" s="4" t="s">
        <v>316</v>
      </c>
      <c r="B36" t="str">
        <f>HYPERLINK("https://www.onsemi.com/PowerSolutions/product.do?id=KA3525A","KA3525A")</f>
        <v>KA3525A</v>
      </c>
      <c r="C36" t="str">
        <f>HYPERLINK("https://www.onsemi.com/pub/Collateral/KA3525A-D.pdf","KA3525A/D (202kB)")</f>
        <v>KA3525A/D (202kB)</v>
      </c>
      <c r="D36" t="s">
        <v>109</v>
      </c>
      <c r="E36" s="2" t="s">
        <v>24</v>
      </c>
      <c r="F36" t="s">
        <v>28</v>
      </c>
      <c r="G36" t="s">
        <v>23</v>
      </c>
      <c r="H36" t="s">
        <v>23</v>
      </c>
      <c r="I36" t="s">
        <v>23</v>
      </c>
      <c r="J36" t="s">
        <v>23</v>
      </c>
      <c r="K36" t="s">
        <v>23</v>
      </c>
      <c r="O36" t="s">
        <v>23</v>
      </c>
      <c r="P36" s="2" t="s">
        <v>110</v>
      </c>
    </row>
    <row r="37" spans="1:16">
      <c r="A37" s="4" t="s">
        <v>316</v>
      </c>
      <c r="B37" t="str">
        <f>HYPERLINK("https://www.onsemi.com/PowerSolutions/product.do?id=KA3844B","KA3844B")</f>
        <v>KA3844B</v>
      </c>
      <c r="C37" t="str">
        <f>HYPERLINK("https://www.onsemi.com/pub/Collateral/KA3844B-D.pdf","KA3844B/D (239kB)")</f>
        <v>KA3844B/D (239kB)</v>
      </c>
      <c r="D37" t="s">
        <v>111</v>
      </c>
      <c r="E37" s="2" t="s">
        <v>70</v>
      </c>
      <c r="F37" t="s">
        <v>28</v>
      </c>
      <c r="G37" s="2" t="s">
        <v>55</v>
      </c>
      <c r="H37" t="s">
        <v>23</v>
      </c>
      <c r="I37" s="2" t="s">
        <v>17</v>
      </c>
      <c r="J37" s="2" t="s">
        <v>112</v>
      </c>
      <c r="K37" s="2" t="s">
        <v>113</v>
      </c>
      <c r="L37" s="2"/>
      <c r="M37" s="2"/>
      <c r="N37" s="2"/>
      <c r="O37" s="2" t="s">
        <v>114</v>
      </c>
      <c r="P37" s="2" t="s">
        <v>93</v>
      </c>
    </row>
    <row r="38" spans="1:16" ht="25.5">
      <c r="A38" s="4" t="s">
        <v>316</v>
      </c>
      <c r="B38" t="str">
        <f>HYPERLINK("https://www.onsemi.com/PowerSolutions/product.do?id=KA7500C","KA7500C")</f>
        <v>KA7500C</v>
      </c>
      <c r="C38" t="str">
        <f>HYPERLINK("https://www.onsemi.com/pub/Collateral/KA7500C-D.pdf","KA7500C/D (432kB)")</f>
        <v>KA7500C/D (432kB)</v>
      </c>
      <c r="D38" t="s">
        <v>115</v>
      </c>
      <c r="E38" s="2" t="s">
        <v>24</v>
      </c>
      <c r="F38" t="s">
        <v>28</v>
      </c>
      <c r="G38" t="s">
        <v>23</v>
      </c>
      <c r="H38" t="s">
        <v>23</v>
      </c>
      <c r="I38" t="s">
        <v>23</v>
      </c>
      <c r="J38" t="s">
        <v>23</v>
      </c>
      <c r="K38" t="s">
        <v>23</v>
      </c>
      <c r="O38" t="s">
        <v>23</v>
      </c>
      <c r="P38" s="2" t="s">
        <v>116</v>
      </c>
    </row>
    <row r="39" spans="1:16">
      <c r="A39" s="4" t="s">
        <v>316</v>
      </c>
      <c r="B39" t="str">
        <f>HYPERLINK("https://www.onsemi.com/PowerSolutions/product.do?id=KA7552A","KA7552A")</f>
        <v>KA7552A</v>
      </c>
      <c r="C39" t="str">
        <f>HYPERLINK("https://www.onsemi.com/pub/Collateral/KA7553A-D.PDF","KA7553A/D (341kB)")</f>
        <v>KA7553A/D (341kB)</v>
      </c>
      <c r="D39" t="s">
        <v>117</v>
      </c>
      <c r="E39" s="2" t="s">
        <v>70</v>
      </c>
      <c r="F39" t="s">
        <v>28</v>
      </c>
      <c r="G39" t="s">
        <v>23</v>
      </c>
      <c r="H39" t="s">
        <v>23</v>
      </c>
      <c r="I39" t="s">
        <v>23</v>
      </c>
      <c r="J39" t="s">
        <v>23</v>
      </c>
      <c r="K39" t="s">
        <v>23</v>
      </c>
      <c r="O39" t="s">
        <v>23</v>
      </c>
      <c r="P39" s="2" t="s">
        <v>93</v>
      </c>
    </row>
    <row r="40" spans="1:16">
      <c r="A40" s="4" t="s">
        <v>316</v>
      </c>
      <c r="B40" t="str">
        <f>HYPERLINK("https://www.onsemi.com/PowerSolutions/product.do?id=KA7553A","KA7553A")</f>
        <v>KA7553A</v>
      </c>
      <c r="C40" t="str">
        <f>HYPERLINK("https://www.onsemi.com/pub/Collateral/KA7553A-D.PDF","KA7553A/D (341kB)")</f>
        <v>KA7553A/D (341kB)</v>
      </c>
      <c r="D40" t="s">
        <v>117</v>
      </c>
      <c r="E40" s="2" t="s">
        <v>70</v>
      </c>
      <c r="F40" t="s">
        <v>28</v>
      </c>
      <c r="G40" t="s">
        <v>23</v>
      </c>
      <c r="H40" t="s">
        <v>23</v>
      </c>
      <c r="I40" t="s">
        <v>23</v>
      </c>
      <c r="J40" t="s">
        <v>23</v>
      </c>
      <c r="K40" t="s">
        <v>23</v>
      </c>
      <c r="O40" t="s">
        <v>23</v>
      </c>
      <c r="P40" s="2" t="s">
        <v>93</v>
      </c>
    </row>
    <row r="41" spans="1:16" ht="25.5">
      <c r="A41" s="4" t="s">
        <v>316</v>
      </c>
      <c r="B41" t="str">
        <f>HYPERLINK("https://www.onsemi.com/PowerSolutions/product.do?id=LV5068V","LV5068V")</f>
        <v>LV5068V</v>
      </c>
      <c r="C41" t="str">
        <f>HYPERLINK("https://www.onsemi.com/pub/Collateral/ENA1875-D.PDF","ENA1875/D (113.0kB)")</f>
        <v>ENA1875/D (113.0kB)</v>
      </c>
      <c r="D41" t="s">
        <v>118</v>
      </c>
      <c r="E41" s="2" t="s">
        <v>24</v>
      </c>
      <c r="F41" t="s">
        <v>28</v>
      </c>
      <c r="G41" s="2" t="s">
        <v>29</v>
      </c>
      <c r="H41" s="2" t="s">
        <v>16</v>
      </c>
      <c r="I41" s="2" t="s">
        <v>17</v>
      </c>
      <c r="J41" s="2" t="s">
        <v>45</v>
      </c>
      <c r="K41" s="2" t="s">
        <v>119</v>
      </c>
      <c r="L41" s="2"/>
      <c r="M41" s="2"/>
      <c r="N41" s="2"/>
      <c r="O41" s="2" t="s">
        <v>120</v>
      </c>
      <c r="P41" s="2" t="s">
        <v>121</v>
      </c>
    </row>
    <row r="42" spans="1:16" ht="25.5">
      <c r="A42" s="4" t="s">
        <v>316</v>
      </c>
      <c r="B42" t="str">
        <f>HYPERLINK("https://www.onsemi.com/PowerSolutions/product.do?id=LV5725JA","LV5725JA")</f>
        <v>LV5725JA</v>
      </c>
      <c r="C42" t="str">
        <f>HYPERLINK("https://www.onsemi.com/pub/Collateral/ENA2054-D.PDF","ENA2054/D (218.0kB)")</f>
        <v>ENA2054/D (218.0kB)</v>
      </c>
      <c r="D42" t="s">
        <v>122</v>
      </c>
      <c r="E42" s="2" t="s">
        <v>24</v>
      </c>
      <c r="F42" t="s">
        <v>28</v>
      </c>
      <c r="G42" s="2" t="s">
        <v>29</v>
      </c>
      <c r="H42" s="2" t="s">
        <v>16</v>
      </c>
      <c r="I42" s="2" t="s">
        <v>17</v>
      </c>
      <c r="J42" s="2" t="s">
        <v>45</v>
      </c>
      <c r="K42" s="2" t="s">
        <v>60</v>
      </c>
      <c r="L42" s="2"/>
      <c r="M42" s="2"/>
      <c r="N42" s="2"/>
      <c r="O42" s="2" t="s">
        <v>123</v>
      </c>
      <c r="P42" s="2" t="s">
        <v>121</v>
      </c>
    </row>
    <row r="43" spans="1:16">
      <c r="A43" s="4" t="s">
        <v>316</v>
      </c>
      <c r="B43" t="str">
        <f>HYPERLINK("https://www.onsemi.com/PowerSolutions/product.do?id=LV5749NV","LV5749NV")</f>
        <v>LV5749NV</v>
      </c>
      <c r="C43" t="str">
        <f>HYPERLINK("https://www.onsemi.com/pub/Collateral/LV5749NV-D.PDF","LV5749NV/D (104.0kB)")</f>
        <v>LV5749NV/D (104.0kB)</v>
      </c>
      <c r="D43" t="s">
        <v>124</v>
      </c>
      <c r="E43" s="2" t="s">
        <v>70</v>
      </c>
      <c r="F43" t="s">
        <v>28</v>
      </c>
      <c r="G43" s="2" t="s">
        <v>29</v>
      </c>
      <c r="H43" s="2" t="s">
        <v>16</v>
      </c>
      <c r="I43" s="2" t="s">
        <v>17</v>
      </c>
      <c r="J43" s="2" t="s">
        <v>125</v>
      </c>
      <c r="K43" s="2" t="s">
        <v>58</v>
      </c>
      <c r="L43" s="2"/>
      <c r="M43" s="2"/>
      <c r="N43" s="2"/>
      <c r="O43" s="2" t="s">
        <v>126</v>
      </c>
      <c r="P43" s="2" t="s">
        <v>121</v>
      </c>
    </row>
    <row r="44" spans="1:16" ht="25.5">
      <c r="A44" s="4" t="s">
        <v>316</v>
      </c>
      <c r="B44" t="str">
        <f>HYPERLINK("https://www.onsemi.com/PowerSolutions/product.do?id=LV5762QA","LV5762QA")</f>
        <v>LV5762QA</v>
      </c>
      <c r="C44" t="str">
        <f>HYPERLINK("https://www.onsemi.com/pub/Collateral/ENA2331-D.PDF","ENA2331/D (353kB)")</f>
        <v>ENA2331/D (353kB)</v>
      </c>
      <c r="D44" t="s">
        <v>127</v>
      </c>
      <c r="E44" s="2" t="s">
        <v>24</v>
      </c>
      <c r="F44" t="s">
        <v>28</v>
      </c>
      <c r="G44" s="2" t="s">
        <v>29</v>
      </c>
      <c r="H44" s="2" t="s">
        <v>16</v>
      </c>
      <c r="I44" s="2" t="s">
        <v>17</v>
      </c>
      <c r="J44" s="2" t="s">
        <v>128</v>
      </c>
      <c r="K44" s="2" t="s">
        <v>58</v>
      </c>
      <c r="L44" s="2"/>
      <c r="M44" s="2"/>
      <c r="N44" s="2"/>
      <c r="O44" s="2" t="s">
        <v>129</v>
      </c>
      <c r="P44" s="2" t="s">
        <v>130</v>
      </c>
    </row>
    <row r="45" spans="1:16" ht="25.5">
      <c r="A45" s="4" t="s">
        <v>316</v>
      </c>
      <c r="B45" t="str">
        <f>HYPERLINK("https://www.onsemi.com/PowerSolutions/product.do?id=LV5768V-A","LV5768V-A")</f>
        <v>LV5768V-A</v>
      </c>
      <c r="C45" t="str">
        <f>HYPERLINK("https://www.onsemi.com/pub/Collateral/LV5768V-A-D.PDF","LV5768V-A/D (441kB)")</f>
        <v>LV5768V-A/D (441kB)</v>
      </c>
      <c r="D45" t="s">
        <v>124</v>
      </c>
      <c r="E45" s="2" t="s">
        <v>70</v>
      </c>
      <c r="F45" t="s">
        <v>28</v>
      </c>
      <c r="G45" s="2" t="s">
        <v>29</v>
      </c>
      <c r="H45" s="2" t="s">
        <v>16</v>
      </c>
      <c r="I45" s="2" t="s">
        <v>17</v>
      </c>
      <c r="J45" s="2" t="s">
        <v>125</v>
      </c>
      <c r="K45" s="2" t="s">
        <v>58</v>
      </c>
      <c r="L45" s="2"/>
      <c r="M45" s="2"/>
      <c r="N45" s="2"/>
      <c r="O45" s="2" t="s">
        <v>131</v>
      </c>
      <c r="P45" s="2" t="s">
        <v>121</v>
      </c>
    </row>
    <row r="46" spans="1:16" ht="25.5">
      <c r="A46" s="4" t="s">
        <v>316</v>
      </c>
      <c r="B46" t="str">
        <f>HYPERLINK("https://www.onsemi.com/PowerSolutions/product.do?id=NCL30161","NCL30161")</f>
        <v>NCL30161</v>
      </c>
      <c r="C46" t="str">
        <f>HYPERLINK("https://www.onsemi.com/pub/Collateral/NCL30161-D.PDF","NCL30161/D (120kB)")</f>
        <v>NCL30161/D (120kB)</v>
      </c>
      <c r="D46" t="s">
        <v>132</v>
      </c>
      <c r="E46" s="2" t="s">
        <v>24</v>
      </c>
      <c r="F46" t="s">
        <v>28</v>
      </c>
      <c r="G46" t="s">
        <v>23</v>
      </c>
      <c r="H46" t="s">
        <v>23</v>
      </c>
      <c r="I46" t="s">
        <v>23</v>
      </c>
      <c r="J46" t="s">
        <v>23</v>
      </c>
      <c r="K46" t="s">
        <v>23</v>
      </c>
      <c r="O46" t="s">
        <v>23</v>
      </c>
      <c r="P46" s="2" t="s">
        <v>133</v>
      </c>
    </row>
    <row r="47" spans="1:16" ht="63.75">
      <c r="A47" s="4" t="s">
        <v>316</v>
      </c>
      <c r="B47" t="str">
        <f>HYPERLINK("https://www.onsemi.com/PowerSolutions/product.do?id=NCP1034","NCP1034")</f>
        <v>NCP1034</v>
      </c>
      <c r="C47" t="str">
        <f>HYPERLINK("https://www.onsemi.com/pub/Collateral/NCP1034-D.PDF","NCP1034/D (300kB)")</f>
        <v>NCP1034/D (300kB)</v>
      </c>
      <c r="D47" t="s">
        <v>134</v>
      </c>
      <c r="E47" s="2" t="s">
        <v>24</v>
      </c>
      <c r="F47" t="s">
        <v>28</v>
      </c>
      <c r="G47" s="2" t="s">
        <v>29</v>
      </c>
      <c r="H47" s="2" t="s">
        <v>16</v>
      </c>
      <c r="I47" s="2" t="s">
        <v>135</v>
      </c>
      <c r="J47" s="2" t="s">
        <v>128</v>
      </c>
      <c r="K47" s="2" t="s">
        <v>136</v>
      </c>
      <c r="L47" s="2"/>
      <c r="M47" s="2"/>
      <c r="N47" s="2"/>
      <c r="O47" s="2" t="s">
        <v>137</v>
      </c>
      <c r="P47" s="2" t="s">
        <v>40</v>
      </c>
    </row>
    <row r="48" spans="1:16" ht="25.5">
      <c r="A48" s="4" t="s">
        <v>316</v>
      </c>
      <c r="B48" t="str">
        <f>HYPERLINK("https://www.onsemi.com/PowerSolutions/product.do?id=NCP1080","NCP1080")</f>
        <v>NCP1080</v>
      </c>
      <c r="C48" t="str">
        <f>HYPERLINK("https://www.onsemi.com/pub/Collateral/NCP1080-D.PDF","NCP1080/D (221.0kB)")</f>
        <v>NCP1080/D (221.0kB)</v>
      </c>
      <c r="D48" t="s">
        <v>138</v>
      </c>
      <c r="E48" s="2" t="s">
        <v>24</v>
      </c>
      <c r="F48" t="s">
        <v>28</v>
      </c>
      <c r="G48" s="2" t="s">
        <v>55</v>
      </c>
      <c r="H48" s="2" t="s">
        <v>16</v>
      </c>
      <c r="I48" s="2" t="s">
        <v>17</v>
      </c>
      <c r="J48" s="2" t="s">
        <v>139</v>
      </c>
      <c r="K48" s="2" t="s">
        <v>140</v>
      </c>
      <c r="L48" s="2"/>
      <c r="M48" s="2"/>
      <c r="N48" s="2"/>
      <c r="O48" s="2" t="s">
        <v>141</v>
      </c>
      <c r="P48" s="2" t="s">
        <v>142</v>
      </c>
    </row>
    <row r="49" spans="1:16" ht="25.5">
      <c r="A49" s="4" t="s">
        <v>316</v>
      </c>
      <c r="B49" t="str">
        <f>HYPERLINK("https://www.onsemi.com/PowerSolutions/product.do?id=NCP1081","NCP1081")</f>
        <v>NCP1081</v>
      </c>
      <c r="C49" t="str">
        <f>HYPERLINK("https://www.onsemi.com/pub/Collateral/NCP1081-D.PDF","NCP1081/D (257.0kB)")</f>
        <v>NCP1081/D (257.0kB)</v>
      </c>
      <c r="D49" t="s">
        <v>143</v>
      </c>
      <c r="E49" s="2" t="s">
        <v>24</v>
      </c>
      <c r="F49" t="s">
        <v>28</v>
      </c>
      <c r="G49" s="2" t="s">
        <v>55</v>
      </c>
      <c r="H49" s="2" t="s">
        <v>16</v>
      </c>
      <c r="I49" s="2" t="s">
        <v>17</v>
      </c>
      <c r="J49" s="2" t="s">
        <v>139</v>
      </c>
      <c r="K49" s="2" t="s">
        <v>140</v>
      </c>
      <c r="L49" s="2"/>
      <c r="M49" s="2"/>
      <c r="N49" s="2"/>
      <c r="O49" s="2" t="s">
        <v>141</v>
      </c>
      <c r="P49" s="2" t="s">
        <v>142</v>
      </c>
    </row>
    <row r="50" spans="1:16" ht="25.5">
      <c r="A50" s="4" t="s">
        <v>316</v>
      </c>
      <c r="B50" t="str">
        <f>HYPERLINK("https://www.onsemi.com/PowerSolutions/product.do?id=NCP1082","NCP1082")</f>
        <v>NCP1082</v>
      </c>
      <c r="C50" t="str">
        <f>HYPERLINK("https://www.onsemi.com/pub/Collateral/NCP1082-D.PDF","NCP1082/D (214.0kB)")</f>
        <v>NCP1082/D (214.0kB)</v>
      </c>
      <c r="D50" t="s">
        <v>144</v>
      </c>
      <c r="E50" s="2" t="s">
        <v>24</v>
      </c>
      <c r="F50" t="s">
        <v>28</v>
      </c>
      <c r="G50" s="2" t="s">
        <v>55</v>
      </c>
      <c r="H50" s="2" t="s">
        <v>16</v>
      </c>
      <c r="I50" s="2" t="s">
        <v>17</v>
      </c>
      <c r="J50" s="2" t="s">
        <v>139</v>
      </c>
      <c r="K50" s="2" t="s">
        <v>140</v>
      </c>
      <c r="L50" s="2"/>
      <c r="M50" s="2"/>
      <c r="N50" s="2"/>
      <c r="O50" s="2" t="s">
        <v>141</v>
      </c>
      <c r="P50" s="2" t="s">
        <v>142</v>
      </c>
    </row>
    <row r="51" spans="1:16" ht="25.5">
      <c r="A51" s="4" t="s">
        <v>316</v>
      </c>
      <c r="B51" t="str">
        <f>HYPERLINK("https://www.onsemi.com/PowerSolutions/product.do?id=NCP1083","NCP1083")</f>
        <v>NCP1083</v>
      </c>
      <c r="C51" t="str">
        <f>HYPERLINK("https://www.onsemi.com/pub/Collateral/NCP1083-D.PDF","NCP1083/D (257.0kB)")</f>
        <v>NCP1083/D (257.0kB)</v>
      </c>
      <c r="D51" t="s">
        <v>145</v>
      </c>
      <c r="E51" s="2" t="s">
        <v>24</v>
      </c>
      <c r="F51" t="s">
        <v>28</v>
      </c>
      <c r="G51" s="2" t="s">
        <v>55</v>
      </c>
      <c r="H51" s="2" t="s">
        <v>16</v>
      </c>
      <c r="I51" s="2" t="s">
        <v>17</v>
      </c>
      <c r="J51" s="2" t="s">
        <v>139</v>
      </c>
      <c r="K51" s="2" t="s">
        <v>140</v>
      </c>
      <c r="L51" s="2"/>
      <c r="M51" s="2"/>
      <c r="N51" s="2"/>
      <c r="O51" s="2" t="s">
        <v>141</v>
      </c>
      <c r="P51" s="2" t="s">
        <v>142</v>
      </c>
    </row>
    <row r="52" spans="1:16" ht="25.5">
      <c r="A52" s="4" t="s">
        <v>316</v>
      </c>
      <c r="B52" t="str">
        <f>HYPERLINK("https://www.onsemi.com/PowerSolutions/product.do?id=NCP1090","NCP1090")</f>
        <v>NCP1090</v>
      </c>
      <c r="C52" t="str">
        <f>HYPERLINK("https://www.onsemi.com/pub/Collateral/NCP1090-D.PDF","NCP1090/D (170.0kB)")</f>
        <v>NCP1090/D (170.0kB)</v>
      </c>
      <c r="D52" t="s">
        <v>146</v>
      </c>
      <c r="E52" s="2" t="s">
        <v>24</v>
      </c>
      <c r="F52" t="s">
        <v>28</v>
      </c>
      <c r="G52" t="s">
        <v>23</v>
      </c>
      <c r="H52" t="s">
        <v>23</v>
      </c>
      <c r="I52" t="s">
        <v>23</v>
      </c>
      <c r="J52" s="2" t="s">
        <v>147</v>
      </c>
      <c r="K52" s="2" t="s">
        <v>140</v>
      </c>
      <c r="L52" s="2"/>
      <c r="M52" s="2"/>
      <c r="N52" s="2"/>
      <c r="O52" t="s">
        <v>23</v>
      </c>
      <c r="P52" s="2" t="s">
        <v>148</v>
      </c>
    </row>
    <row r="53" spans="1:16" ht="25.5">
      <c r="A53" s="4" t="s">
        <v>316</v>
      </c>
      <c r="B53" t="str">
        <f>HYPERLINK("https://www.onsemi.com/PowerSolutions/product.do?id=NCP1091","NCP1091")</f>
        <v>NCP1091</v>
      </c>
      <c r="C53" t="str">
        <f>HYPERLINK("https://www.onsemi.com/pub/Collateral/NCP1090-D.PDF","NCP1090/D (170.0kB)")</f>
        <v>NCP1090/D (170.0kB)</v>
      </c>
      <c r="D53" t="s">
        <v>149</v>
      </c>
      <c r="E53" s="2" t="s">
        <v>24</v>
      </c>
      <c r="F53" t="s">
        <v>28</v>
      </c>
      <c r="G53" t="s">
        <v>23</v>
      </c>
      <c r="H53" t="s">
        <v>23</v>
      </c>
      <c r="I53" t="s">
        <v>23</v>
      </c>
      <c r="J53" s="2" t="s">
        <v>147</v>
      </c>
      <c r="K53" s="2" t="s">
        <v>140</v>
      </c>
      <c r="L53" s="2"/>
      <c r="M53" s="2"/>
      <c r="N53" s="2"/>
      <c r="O53" t="s">
        <v>23</v>
      </c>
      <c r="P53" s="2" t="s">
        <v>148</v>
      </c>
    </row>
    <row r="54" spans="1:16" ht="25.5">
      <c r="A54" s="4" t="s">
        <v>316</v>
      </c>
      <c r="B54" t="str">
        <f>HYPERLINK("https://www.onsemi.com/PowerSolutions/product.do?id=NCP1092","NCP1092")</f>
        <v>NCP1092</v>
      </c>
      <c r="C54" t="str">
        <f>HYPERLINK("https://www.onsemi.com/pub/Collateral/NCP1090-D.PDF","NCP1090/D (170.0kB)")</f>
        <v>NCP1090/D (170.0kB)</v>
      </c>
      <c r="D54" t="s">
        <v>150</v>
      </c>
      <c r="E54" s="2" t="s">
        <v>24</v>
      </c>
      <c r="F54" t="s">
        <v>28</v>
      </c>
      <c r="G54" t="s">
        <v>23</v>
      </c>
      <c r="H54" t="s">
        <v>23</v>
      </c>
      <c r="I54" t="s">
        <v>23</v>
      </c>
      <c r="J54" t="s">
        <v>23</v>
      </c>
      <c r="K54" s="2" t="s">
        <v>140</v>
      </c>
      <c r="L54" s="2"/>
      <c r="M54" s="2"/>
      <c r="N54" s="2"/>
      <c r="O54" t="s">
        <v>23</v>
      </c>
      <c r="P54" s="2" t="s">
        <v>148</v>
      </c>
    </row>
    <row r="55" spans="1:16" ht="25.5">
      <c r="A55" s="4" t="s">
        <v>316</v>
      </c>
      <c r="B55" t="str">
        <f>HYPERLINK("https://www.onsemi.com/PowerSolutions/product.do?id=NCP1093","NCP1093")</f>
        <v>NCP1093</v>
      </c>
      <c r="C55" t="str">
        <f>HYPERLINK("https://www.onsemi.com/pub/Collateral/NCP1093-D.PDF","NCP1093/D (121kB)")</f>
        <v>NCP1093/D (121kB)</v>
      </c>
      <c r="D55" t="s">
        <v>151</v>
      </c>
      <c r="E55" s="2" t="s">
        <v>24</v>
      </c>
      <c r="F55" t="s">
        <v>28</v>
      </c>
      <c r="G55" t="s">
        <v>23</v>
      </c>
      <c r="H55" t="s">
        <v>23</v>
      </c>
      <c r="I55" t="s">
        <v>23</v>
      </c>
      <c r="J55" t="s">
        <v>23</v>
      </c>
      <c r="K55" s="2" t="s">
        <v>140</v>
      </c>
      <c r="L55" s="2"/>
      <c r="M55" s="2"/>
      <c r="N55" s="2"/>
      <c r="O55" t="s">
        <v>23</v>
      </c>
      <c r="P55" s="2" t="s">
        <v>133</v>
      </c>
    </row>
    <row r="56" spans="1:16" ht="25.5">
      <c r="A56" s="4" t="s">
        <v>316</v>
      </c>
      <c r="B56" t="str">
        <f>HYPERLINK("https://www.onsemi.com/PowerSolutions/product.do?id=NCP1094","NCP1094")</f>
        <v>NCP1094</v>
      </c>
      <c r="C56" t="str">
        <f>HYPERLINK("https://www.onsemi.com/pub/Collateral/NCP1093-D.PDF","NCP1093/D (121kB)")</f>
        <v>NCP1093/D (121kB)</v>
      </c>
      <c r="D56" t="s">
        <v>151</v>
      </c>
      <c r="E56" s="2" t="s">
        <v>24</v>
      </c>
      <c r="F56" t="s">
        <v>28</v>
      </c>
      <c r="G56" t="s">
        <v>23</v>
      </c>
      <c r="H56" t="s">
        <v>23</v>
      </c>
      <c r="I56" t="s">
        <v>23</v>
      </c>
      <c r="J56" t="s">
        <v>23</v>
      </c>
      <c r="K56" s="2" t="s">
        <v>140</v>
      </c>
      <c r="L56" s="2"/>
      <c r="M56" s="2"/>
      <c r="N56" s="2"/>
      <c r="O56" t="s">
        <v>23</v>
      </c>
      <c r="P56" s="2" t="s">
        <v>133</v>
      </c>
    </row>
    <row r="57" spans="1:16" ht="25.5">
      <c r="A57" s="4" t="s">
        <v>316</v>
      </c>
      <c r="B57" t="str">
        <f>HYPERLINK("https://www.onsemi.com/PowerSolutions/product.do?id=NCP1095","NCP1095")</f>
        <v>NCP1095</v>
      </c>
      <c r="C57" t="str">
        <f>HYPERLINK("https://www.onsemi.com/pub/Collateral/NCP1095-D.PDF","NCP1095/D (325kB)")</f>
        <v>NCP1095/D (325kB)</v>
      </c>
      <c r="D57" t="s">
        <v>152</v>
      </c>
      <c r="E57" s="2" t="s">
        <v>24</v>
      </c>
      <c r="F57" t="s">
        <v>28</v>
      </c>
      <c r="G57" t="s">
        <v>23</v>
      </c>
      <c r="H57" t="s">
        <v>23</v>
      </c>
      <c r="I57" t="s">
        <v>23</v>
      </c>
      <c r="J57" s="2" t="s">
        <v>153</v>
      </c>
      <c r="K57" s="2" t="s">
        <v>140</v>
      </c>
      <c r="L57" s="2"/>
      <c r="M57" s="2"/>
      <c r="N57" s="2"/>
      <c r="O57" t="s">
        <v>23</v>
      </c>
      <c r="P57" s="2" t="s">
        <v>73</v>
      </c>
    </row>
    <row r="58" spans="1:16" ht="25.5">
      <c r="A58" s="4" t="s">
        <v>316</v>
      </c>
      <c r="B58" t="str">
        <f>HYPERLINK("https://www.onsemi.com/PowerSolutions/product.do?id=NCP1096","NCP1096")</f>
        <v>NCP1096</v>
      </c>
      <c r="C58" t="str">
        <f>HYPERLINK("https://www.onsemi.com/pub/Collateral/NCP1096-D.PDF","NCP1096/D (330kB)")</f>
        <v>NCP1096/D (330kB)</v>
      </c>
      <c r="D58" t="s">
        <v>154</v>
      </c>
      <c r="E58" s="2" t="s">
        <v>24</v>
      </c>
      <c r="F58" t="s">
        <v>28</v>
      </c>
      <c r="G58" t="s">
        <v>23</v>
      </c>
      <c r="H58" t="s">
        <v>23</v>
      </c>
      <c r="I58" t="s">
        <v>23</v>
      </c>
      <c r="J58" s="2" t="s">
        <v>153</v>
      </c>
      <c r="K58" s="2" t="s">
        <v>140</v>
      </c>
      <c r="L58" s="2"/>
      <c r="M58" s="2"/>
      <c r="N58" s="2"/>
      <c r="O58" t="s">
        <v>23</v>
      </c>
      <c r="P58" s="2" t="s">
        <v>155</v>
      </c>
    </row>
    <row r="59" spans="1:16" ht="25.5">
      <c r="A59" s="4" t="s">
        <v>316</v>
      </c>
      <c r="B59" t="str">
        <f>HYPERLINK("https://www.onsemi.com/PowerSolutions/product.do?id=NCP12700","NCP12700")</f>
        <v>NCP12700</v>
      </c>
      <c r="C59" t="str">
        <f>HYPERLINK("https://www.onsemi.com/pub/Collateral/NCP12700-D.PDF","NCP12700/D (212kB)")</f>
        <v>NCP12700/D (212kB)</v>
      </c>
      <c r="D59" t="s">
        <v>156</v>
      </c>
      <c r="E59" s="2" t="s">
        <v>24</v>
      </c>
      <c r="F59" t="s">
        <v>28</v>
      </c>
      <c r="G59" s="2" t="s">
        <v>55</v>
      </c>
      <c r="H59" s="2" t="s">
        <v>16</v>
      </c>
      <c r="I59" s="2" t="s">
        <v>17</v>
      </c>
      <c r="J59" s="2" t="s">
        <v>158</v>
      </c>
      <c r="K59" s="2" t="s">
        <v>159</v>
      </c>
      <c r="L59" s="2"/>
      <c r="M59" s="2"/>
      <c r="N59" s="2"/>
      <c r="O59" t="s">
        <v>23</v>
      </c>
      <c r="P59" s="2" t="s">
        <v>160</v>
      </c>
    </row>
    <row r="60" spans="1:16" ht="63.75">
      <c r="A60" s="4" t="s">
        <v>316</v>
      </c>
      <c r="B60" t="str">
        <f>HYPERLINK("https://www.onsemi.com/PowerSolutions/product.do?id=NCP1294","NCP1294")</f>
        <v>NCP1294</v>
      </c>
      <c r="C60" t="str">
        <f>HYPERLINK("https://www.onsemi.com/pub/Collateral/NCP1294-D.PDF","NCP1294/D (227.0kB)")</f>
        <v>NCP1294/D (227.0kB)</v>
      </c>
      <c r="D60" t="s">
        <v>161</v>
      </c>
      <c r="E60" s="2" t="s">
        <v>24</v>
      </c>
      <c r="F60" t="s">
        <v>28</v>
      </c>
      <c r="G60" s="2" t="s">
        <v>162</v>
      </c>
      <c r="H60" s="2" t="s">
        <v>16</v>
      </c>
      <c r="I60" s="2" t="s">
        <v>17</v>
      </c>
      <c r="J60" s="2" t="s">
        <v>163</v>
      </c>
      <c r="K60" s="2" t="s">
        <v>96</v>
      </c>
      <c r="L60" s="2"/>
      <c r="M60" s="2"/>
      <c r="N60" s="2"/>
      <c r="O60" s="2" t="s">
        <v>39</v>
      </c>
      <c r="P60" s="2" t="s">
        <v>73</v>
      </c>
    </row>
    <row r="61" spans="1:16" ht="25.5">
      <c r="A61" s="4" t="s">
        <v>316</v>
      </c>
      <c r="B61" t="str">
        <f>HYPERLINK("https://www.onsemi.com/PowerSolutions/product.do?id=NCP1562","NCP1562")</f>
        <v>NCP1562</v>
      </c>
      <c r="C61" t="str">
        <f>HYPERLINK("https://www.onsemi.com/pub/Collateral/NCP1562A-D.PDF","NCP1562A/D (477.0kB)")</f>
        <v>NCP1562A/D (477.0kB)</v>
      </c>
      <c r="D61" t="s">
        <v>164</v>
      </c>
      <c r="E61" s="2" t="s">
        <v>24</v>
      </c>
      <c r="F61" t="s">
        <v>28</v>
      </c>
      <c r="G61" s="2" t="s">
        <v>90</v>
      </c>
      <c r="H61" s="2" t="s">
        <v>16</v>
      </c>
      <c r="I61" s="2" t="s">
        <v>135</v>
      </c>
      <c r="J61" s="2" t="s">
        <v>165</v>
      </c>
      <c r="K61" s="2" t="s">
        <v>166</v>
      </c>
      <c r="L61" s="2"/>
      <c r="M61" s="2"/>
      <c r="N61" s="2"/>
      <c r="O61" s="2" t="s">
        <v>167</v>
      </c>
      <c r="P61" s="2" t="s">
        <v>42</v>
      </c>
    </row>
    <row r="62" spans="1:16" ht="25.5">
      <c r="A62" s="4" t="s">
        <v>316</v>
      </c>
      <c r="B62" t="str">
        <f>HYPERLINK("https://www.onsemi.com/PowerSolutions/product.do?id=NCP1565","NCP1565")</f>
        <v>NCP1565</v>
      </c>
      <c r="C62" t="str">
        <f>HYPERLINK("https://www.onsemi.com/pub/Collateral/NCP1565-D.PDF","NCP1565/D (988kB)")</f>
        <v>NCP1565/D (988kB)</v>
      </c>
      <c r="D62" t="s">
        <v>168</v>
      </c>
      <c r="E62" s="2" t="s">
        <v>24</v>
      </c>
      <c r="F62" t="s">
        <v>28</v>
      </c>
      <c r="G62" s="2" t="s">
        <v>90</v>
      </c>
      <c r="H62" s="2" t="s">
        <v>16</v>
      </c>
      <c r="I62" s="2" t="s">
        <v>169</v>
      </c>
      <c r="J62" s="2" t="s">
        <v>158</v>
      </c>
      <c r="K62" s="2" t="s">
        <v>170</v>
      </c>
      <c r="L62" s="2"/>
      <c r="M62" s="2"/>
      <c r="N62" s="2"/>
      <c r="O62" s="2" t="s">
        <v>171</v>
      </c>
      <c r="P62" s="2" t="s">
        <v>172</v>
      </c>
    </row>
    <row r="63" spans="1:16" ht="25.5">
      <c r="A63" s="4" t="s">
        <v>316</v>
      </c>
      <c r="B63" t="str">
        <f>HYPERLINK("https://www.onsemi.com/PowerSolutions/product.do?id=NCP1566","NCP1566")</f>
        <v>NCP1566</v>
      </c>
      <c r="C63" t="str">
        <f>HYPERLINK("https://www.onsemi.com/pub/Collateral/NCP1566-D.PDF","NCP1566/D (3231kB)")</f>
        <v>NCP1566/D (3231kB)</v>
      </c>
      <c r="D63" t="s">
        <v>173</v>
      </c>
      <c r="E63" s="2" t="s">
        <v>24</v>
      </c>
      <c r="F63" t="s">
        <v>28</v>
      </c>
      <c r="G63" s="2" t="s">
        <v>90</v>
      </c>
      <c r="H63" s="2" t="s">
        <v>16</v>
      </c>
      <c r="I63" s="2" t="s">
        <v>169</v>
      </c>
      <c r="J63" s="2" t="s">
        <v>158</v>
      </c>
      <c r="K63" s="2" t="s">
        <v>170</v>
      </c>
      <c r="L63" s="2"/>
      <c r="M63" s="2"/>
      <c r="N63" s="2"/>
      <c r="O63" s="2" t="s">
        <v>174</v>
      </c>
      <c r="P63" s="2" t="s">
        <v>172</v>
      </c>
    </row>
    <row r="64" spans="1:16" ht="25.5">
      <c r="A64" s="4" t="s">
        <v>316</v>
      </c>
      <c r="B64" t="str">
        <f>HYPERLINK("https://www.onsemi.com/PowerSolutions/product.do?id=NCP1579","NCP1579")</f>
        <v>NCP1579</v>
      </c>
      <c r="C64" t="str">
        <f>HYPERLINK("https://www.onsemi.com/pub/Collateral/NCP1579-D.PDF","NCP1579/D (142.0kB)")</f>
        <v>NCP1579/D (142.0kB)</v>
      </c>
      <c r="D64" t="s">
        <v>175</v>
      </c>
      <c r="E64" s="2" t="s">
        <v>24</v>
      </c>
      <c r="F64" t="s">
        <v>28</v>
      </c>
      <c r="G64" s="2" t="s">
        <v>29</v>
      </c>
      <c r="H64" s="2" t="s">
        <v>16</v>
      </c>
      <c r="I64" t="s">
        <v>23</v>
      </c>
      <c r="J64" s="2" t="s">
        <v>45</v>
      </c>
      <c r="K64" s="2" t="s">
        <v>91</v>
      </c>
      <c r="L64" s="2"/>
      <c r="M64" s="2"/>
      <c r="N64" s="2"/>
      <c r="O64" s="2" t="s">
        <v>176</v>
      </c>
      <c r="P64" s="2" t="s">
        <v>21</v>
      </c>
    </row>
    <row r="65" spans="1:16" ht="25.5">
      <c r="A65" s="4" t="s">
        <v>316</v>
      </c>
      <c r="B65" t="str">
        <f>HYPERLINK("https://www.onsemi.com/PowerSolutions/product.do?id=NCP1581","NCP1581")</f>
        <v>NCP1581</v>
      </c>
      <c r="C65" t="str">
        <f>HYPERLINK("https://www.onsemi.com/pub/Collateral/NCP1581-D.PDF","NCP1581/D (320.0kB)")</f>
        <v>NCP1581/D (320.0kB)</v>
      </c>
      <c r="D65" t="s">
        <v>177</v>
      </c>
      <c r="E65" s="2" t="s">
        <v>24</v>
      </c>
      <c r="F65" t="s">
        <v>28</v>
      </c>
      <c r="G65" s="2" t="s">
        <v>29</v>
      </c>
      <c r="H65" s="2" t="s">
        <v>16</v>
      </c>
      <c r="I65" s="2" t="s">
        <v>135</v>
      </c>
      <c r="J65" s="2" t="s">
        <v>179</v>
      </c>
      <c r="K65" s="2" t="s">
        <v>38</v>
      </c>
      <c r="L65" s="2"/>
      <c r="M65" s="2"/>
      <c r="N65" s="2"/>
      <c r="O65" s="2" t="s">
        <v>53</v>
      </c>
      <c r="P65" s="2" t="s">
        <v>180</v>
      </c>
    </row>
    <row r="66" spans="1:16" ht="25.5">
      <c r="A66" s="4" t="s">
        <v>316</v>
      </c>
      <c r="B66" t="str">
        <f>HYPERLINK("https://www.onsemi.com/PowerSolutions/product.do?id=NCP1587","NCP1587")</f>
        <v>NCP1587</v>
      </c>
      <c r="C66" t="str">
        <f>HYPERLINK("https://www.onsemi.com/pub/Collateral/NCP1587-D.PDF","NCP1587/D (407.0kB)")</f>
        <v>NCP1587/D (407.0kB)</v>
      </c>
      <c r="D66" t="s">
        <v>175</v>
      </c>
      <c r="E66" s="2" t="s">
        <v>24</v>
      </c>
      <c r="F66" t="s">
        <v>28</v>
      </c>
      <c r="G66" s="2" t="s">
        <v>29</v>
      </c>
      <c r="H66" s="2" t="s">
        <v>16</v>
      </c>
      <c r="I66" s="2" t="s">
        <v>135</v>
      </c>
      <c r="J66" s="2" t="s">
        <v>45</v>
      </c>
      <c r="K66" s="2" t="s">
        <v>91</v>
      </c>
      <c r="L66" s="2"/>
      <c r="M66" s="2"/>
      <c r="N66" s="2"/>
      <c r="O66" s="2" t="s">
        <v>181</v>
      </c>
      <c r="P66" s="2" t="s">
        <v>21</v>
      </c>
    </row>
    <row r="67" spans="1:16" ht="25.5">
      <c r="A67" s="4" t="s">
        <v>316</v>
      </c>
      <c r="B67" t="str">
        <f>HYPERLINK("https://www.onsemi.com/PowerSolutions/product.do?id=NCP1587A","NCP1587A")</f>
        <v>NCP1587A</v>
      </c>
      <c r="C67" t="str">
        <f>HYPERLINK("https://www.onsemi.com/pub/Collateral/NCP1587-D.PDF","NCP1587/D (407.0kB)")</f>
        <v>NCP1587/D (407.0kB)</v>
      </c>
      <c r="D67" t="s">
        <v>175</v>
      </c>
      <c r="E67" s="2" t="s">
        <v>24</v>
      </c>
      <c r="F67" t="s">
        <v>28</v>
      </c>
      <c r="G67" s="2" t="s">
        <v>29</v>
      </c>
      <c r="H67" s="2" t="s">
        <v>16</v>
      </c>
      <c r="I67" s="2" t="s">
        <v>135</v>
      </c>
      <c r="J67" s="2" t="s">
        <v>45</v>
      </c>
      <c r="K67" s="2" t="s">
        <v>91</v>
      </c>
      <c r="L67" s="2"/>
      <c r="M67" s="2"/>
      <c r="N67" s="2"/>
      <c r="O67" s="2" t="s">
        <v>182</v>
      </c>
      <c r="P67" s="2" t="s">
        <v>21</v>
      </c>
    </row>
    <row r="68" spans="1:16" ht="25.5">
      <c r="A68" s="4" t="s">
        <v>316</v>
      </c>
      <c r="B68" t="str">
        <f>HYPERLINK("https://www.onsemi.com/PowerSolutions/product.do?id=NCP1589A","NCP1589A")</f>
        <v>NCP1589A</v>
      </c>
      <c r="C68" t="str">
        <f>HYPERLINK("https://www.onsemi.com/pub/Collateral/NCP1589A-D.PDF","NCP1589A/D (130kB)")</f>
        <v>NCP1589A/D (130kB)</v>
      </c>
      <c r="D68" t="s">
        <v>175</v>
      </c>
      <c r="E68" s="2" t="s">
        <v>24</v>
      </c>
      <c r="F68" t="s">
        <v>28</v>
      </c>
      <c r="G68" s="2" t="s">
        <v>29</v>
      </c>
      <c r="H68" s="2" t="s">
        <v>16</v>
      </c>
      <c r="I68" s="2" t="s">
        <v>135</v>
      </c>
      <c r="J68" s="2" t="s">
        <v>45</v>
      </c>
      <c r="K68" s="2" t="s">
        <v>91</v>
      </c>
      <c r="L68" s="2"/>
      <c r="M68" s="2"/>
      <c r="N68" s="2"/>
      <c r="O68" t="s">
        <v>23</v>
      </c>
      <c r="P68" s="2" t="s">
        <v>133</v>
      </c>
    </row>
    <row r="69" spans="1:16">
      <c r="A69" s="4" t="s">
        <v>316</v>
      </c>
      <c r="B69" t="str">
        <f>HYPERLINK("https://www.onsemi.com/PowerSolutions/product.do?id=NCP1589D","NCP1589D")</f>
        <v>NCP1589D</v>
      </c>
      <c r="C69" t="str">
        <f>HYPERLINK("https://www.onsemi.com/pub/Collateral/NCP1589D-D.PDF","NCP1589D/D (83kB)")</f>
        <v>NCP1589D/D (83kB)</v>
      </c>
      <c r="D69" t="s">
        <v>183</v>
      </c>
      <c r="E69" s="2" t="s">
        <v>70</v>
      </c>
      <c r="F69" t="s">
        <v>28</v>
      </c>
      <c r="G69" s="2" t="s">
        <v>29</v>
      </c>
      <c r="H69" t="s">
        <v>23</v>
      </c>
      <c r="I69" t="s">
        <v>23</v>
      </c>
      <c r="J69" s="2" t="s">
        <v>45</v>
      </c>
      <c r="K69" s="2" t="s">
        <v>91</v>
      </c>
      <c r="L69" s="2"/>
      <c r="M69" s="2"/>
      <c r="N69" s="2"/>
      <c r="O69" t="s">
        <v>23</v>
      </c>
      <c r="P69" s="2" t="s">
        <v>133</v>
      </c>
    </row>
    <row r="70" spans="1:16">
      <c r="A70" s="4" t="s">
        <v>316</v>
      </c>
      <c r="B70" t="str">
        <f>HYPERLINK("https://www.onsemi.com/PowerSolutions/product.do?id=NCP1589L","NCP1589L")</f>
        <v>NCP1589L</v>
      </c>
      <c r="C70" t="str">
        <f>HYPERLINK("https://www.onsemi.com/pub/Collateral/NCP1589L-D.PDF","NCP1589L/D (126.0kB)")</f>
        <v>NCP1589L/D (126.0kB)</v>
      </c>
      <c r="D70" t="s">
        <v>184</v>
      </c>
      <c r="E70" s="2" t="s">
        <v>70</v>
      </c>
      <c r="F70" t="s">
        <v>28</v>
      </c>
      <c r="G70" s="2" t="s">
        <v>29</v>
      </c>
      <c r="H70" t="s">
        <v>23</v>
      </c>
      <c r="I70" t="s">
        <v>23</v>
      </c>
      <c r="J70" s="2" t="s">
        <v>45</v>
      </c>
      <c r="K70" s="2" t="s">
        <v>91</v>
      </c>
      <c r="L70" s="2"/>
      <c r="M70" s="2"/>
      <c r="N70" s="2"/>
      <c r="O70" t="s">
        <v>23</v>
      </c>
      <c r="P70" s="2" t="s">
        <v>133</v>
      </c>
    </row>
    <row r="71" spans="1:16" ht="102">
      <c r="A71" s="4" t="s">
        <v>316</v>
      </c>
      <c r="B71" t="str">
        <f>HYPERLINK("https://www.onsemi.com/PowerSolutions/product.do?id=NCP3011","NCP3011")</f>
        <v>NCP3011</v>
      </c>
      <c r="C71" t="str">
        <f>HYPERLINK("https://www.onsemi.com/pub/Collateral/NCP3011-D.PDF","NCP3011/D (363kB)")</f>
        <v>NCP3011/D (363kB)</v>
      </c>
      <c r="D71" t="s">
        <v>185</v>
      </c>
      <c r="E71" s="2" t="s">
        <v>49</v>
      </c>
      <c r="F71" t="s">
        <v>28</v>
      </c>
      <c r="G71" s="2" t="s">
        <v>29</v>
      </c>
      <c r="H71" s="2" t="s">
        <v>16</v>
      </c>
      <c r="I71" s="2" t="s">
        <v>135</v>
      </c>
      <c r="J71" s="2" t="s">
        <v>186</v>
      </c>
      <c r="K71" s="2" t="s">
        <v>187</v>
      </c>
      <c r="L71" s="2"/>
      <c r="M71" s="2"/>
      <c r="N71" s="2"/>
      <c r="O71" s="2" t="s">
        <v>53</v>
      </c>
      <c r="P71" s="2" t="s">
        <v>188</v>
      </c>
    </row>
    <row r="72" spans="1:16" ht="51">
      <c r="A72" s="4" t="s">
        <v>316</v>
      </c>
      <c r="B72" t="str">
        <f>HYPERLINK("https://www.onsemi.com/PowerSolutions/product.do?id=NCP3012","NCP3012")</f>
        <v>NCP3012</v>
      </c>
      <c r="C72" t="str">
        <f>HYPERLINK("https://www.onsemi.com/pub/Collateral/NCP3012-D.PDF","NCP3012/D (345.0kB)")</f>
        <v>NCP3012/D (345.0kB)</v>
      </c>
      <c r="D72" t="s">
        <v>185</v>
      </c>
      <c r="E72" s="2" t="s">
        <v>49</v>
      </c>
      <c r="F72" t="s">
        <v>28</v>
      </c>
      <c r="G72" s="2" t="s">
        <v>29</v>
      </c>
      <c r="H72" s="2" t="s">
        <v>16</v>
      </c>
      <c r="I72" s="2" t="s">
        <v>135</v>
      </c>
      <c r="J72" s="2" t="s">
        <v>163</v>
      </c>
      <c r="K72" s="2" t="s">
        <v>189</v>
      </c>
      <c r="L72" s="2"/>
      <c r="M72" s="2"/>
      <c r="N72" s="2"/>
      <c r="O72" s="2" t="s">
        <v>190</v>
      </c>
      <c r="P72" s="2" t="s">
        <v>188</v>
      </c>
    </row>
    <row r="73" spans="1:16" ht="127.5">
      <c r="A73" s="4" t="s">
        <v>316</v>
      </c>
      <c r="B73" t="str">
        <f>HYPERLINK("https://www.onsemi.com/PowerSolutions/product.do?id=NCP3020","NCP3020")</f>
        <v>NCP3020</v>
      </c>
      <c r="C73" t="str">
        <f>HYPERLINK("https://www.onsemi.com/pub/Collateral/NCP3020-D.PDF","NCP3020/D (773kB)")</f>
        <v>NCP3020/D (773kB)</v>
      </c>
      <c r="D73" t="s">
        <v>185</v>
      </c>
      <c r="E73" s="2" t="s">
        <v>49</v>
      </c>
      <c r="F73" t="s">
        <v>28</v>
      </c>
      <c r="G73" s="2" t="s">
        <v>29</v>
      </c>
      <c r="H73" s="2" t="s">
        <v>16</v>
      </c>
      <c r="I73" s="2" t="s">
        <v>135</v>
      </c>
      <c r="J73" s="2" t="s">
        <v>163</v>
      </c>
      <c r="K73" s="2" t="s">
        <v>191</v>
      </c>
      <c r="L73" s="2"/>
      <c r="M73" s="2"/>
      <c r="N73" s="2"/>
      <c r="O73" s="2" t="s">
        <v>192</v>
      </c>
      <c r="P73" s="2" t="s">
        <v>21</v>
      </c>
    </row>
    <row r="74" spans="1:16" ht="63.75">
      <c r="A74" s="4" t="s">
        <v>316</v>
      </c>
      <c r="B74" t="str">
        <f>HYPERLINK("https://www.onsemi.com/PowerSolutions/product.do?id=NCP3030","NCP3030")</f>
        <v>NCP3030</v>
      </c>
      <c r="C74" t="str">
        <f>HYPERLINK("https://www.onsemi.com/pub/Collateral/NCP3030-D.PDF","NCP3030/D (325kB)")</f>
        <v>NCP3030/D (325kB)</v>
      </c>
      <c r="D74" t="s">
        <v>185</v>
      </c>
      <c r="E74" s="2" t="s">
        <v>49</v>
      </c>
      <c r="F74" t="s">
        <v>28</v>
      </c>
      <c r="G74" s="2" t="s">
        <v>29</v>
      </c>
      <c r="H74" s="2" t="s">
        <v>16</v>
      </c>
      <c r="I74" s="2" t="s">
        <v>135</v>
      </c>
      <c r="J74" s="2" t="s">
        <v>163</v>
      </c>
      <c r="K74" s="2" t="s">
        <v>193</v>
      </c>
      <c r="L74" s="2"/>
      <c r="M74" s="2"/>
      <c r="N74" s="2"/>
      <c r="O74" s="2" t="s">
        <v>194</v>
      </c>
      <c r="P74" s="2" t="s">
        <v>21</v>
      </c>
    </row>
    <row r="75" spans="1:16" ht="25.5">
      <c r="A75" s="4" t="s">
        <v>316</v>
      </c>
      <c r="B75" t="str">
        <f>HYPERLINK("https://www.onsemi.com/PowerSolutions/product.do?id=NCP4200","NCP4200")</f>
        <v>NCP4200</v>
      </c>
      <c r="C75" t="str">
        <f>HYPERLINK("https://www.onsemi.com/pub/Collateral/NCP4200-D.PDF","NCP4200/D (300.0kB)")</f>
        <v>NCP4200/D (300.0kB)</v>
      </c>
      <c r="D75" t="s">
        <v>195</v>
      </c>
      <c r="E75" s="2" t="s">
        <v>24</v>
      </c>
      <c r="F75" t="s">
        <v>28</v>
      </c>
      <c r="G75" s="2" t="s">
        <v>29</v>
      </c>
      <c r="H75" s="2" t="s">
        <v>196</v>
      </c>
      <c r="I75" t="s">
        <v>23</v>
      </c>
      <c r="J75" s="2" t="s">
        <v>197</v>
      </c>
      <c r="K75" s="2" t="s">
        <v>198</v>
      </c>
      <c r="L75" s="2"/>
      <c r="M75" s="2"/>
      <c r="N75" s="2"/>
      <c r="O75" s="2" t="s">
        <v>199</v>
      </c>
      <c r="P75" s="2" t="s">
        <v>200</v>
      </c>
    </row>
    <row r="76" spans="1:16" ht="25.5">
      <c r="A76" s="4" t="s">
        <v>316</v>
      </c>
      <c r="B76" t="str">
        <f>HYPERLINK("https://www.onsemi.com/PowerSolutions/product.do?id=NCP4208","NCP4208")</f>
        <v>NCP4208</v>
      </c>
      <c r="C76" t="str">
        <f>HYPERLINK("https://www.onsemi.com/pub/Collateral/NCP4208-D.PDF","NCP4208/D (297.0kB)")</f>
        <v>NCP4208/D (297.0kB)</v>
      </c>
      <c r="D76" t="s">
        <v>201</v>
      </c>
      <c r="E76" s="2" t="s">
        <v>24</v>
      </c>
      <c r="F76" t="s">
        <v>28</v>
      </c>
      <c r="G76" s="2" t="s">
        <v>29</v>
      </c>
      <c r="H76" s="2" t="s">
        <v>202</v>
      </c>
      <c r="I76" t="s">
        <v>23</v>
      </c>
      <c r="J76" t="s">
        <v>23</v>
      </c>
      <c r="K76" t="s">
        <v>23</v>
      </c>
      <c r="O76" s="2" t="s">
        <v>199</v>
      </c>
      <c r="P76" s="2" t="s">
        <v>203</v>
      </c>
    </row>
    <row r="77" spans="1:16" ht="25.5">
      <c r="A77" s="4" t="s">
        <v>316</v>
      </c>
      <c r="B77" t="str">
        <f>HYPERLINK("https://www.onsemi.com/PowerSolutions/product.do?id=NCP5212","NCP5212")</f>
        <v>NCP5212</v>
      </c>
      <c r="C77" t="str">
        <f>HYPERLINK("https://www.onsemi.com/pub/Collateral/NCP5212A-D.PDF","NCP5212A/D (351.0kB)")</f>
        <v>NCP5212A/D (351.0kB)</v>
      </c>
      <c r="D77" t="s">
        <v>204</v>
      </c>
      <c r="E77" s="2" t="s">
        <v>24</v>
      </c>
      <c r="F77" t="s">
        <v>28</v>
      </c>
      <c r="G77" s="2" t="s">
        <v>29</v>
      </c>
      <c r="H77" s="2" t="s">
        <v>16</v>
      </c>
      <c r="I77" s="2" t="s">
        <v>169</v>
      </c>
      <c r="J77" s="2" t="s">
        <v>45</v>
      </c>
      <c r="K77" s="2" t="s">
        <v>205</v>
      </c>
      <c r="L77" s="2"/>
      <c r="M77" s="2"/>
      <c r="N77" s="2"/>
      <c r="O77" s="2" t="s">
        <v>206</v>
      </c>
      <c r="P77" s="2" t="s">
        <v>207</v>
      </c>
    </row>
    <row r="78" spans="1:16" ht="25.5">
      <c r="A78" s="4" t="s">
        <v>316</v>
      </c>
      <c r="B78" t="str">
        <f>HYPERLINK("https://www.onsemi.com/PowerSolutions/product.do?id=NCP5217","NCP5217")</f>
        <v>NCP5217</v>
      </c>
      <c r="C78" t="str">
        <f>HYPERLINK("https://www.onsemi.com/pub/Collateral/NCP5217A-D.PDF","NCP5217A/D (279.0kB)")</f>
        <v>NCP5217A/D (279.0kB)</v>
      </c>
      <c r="D78" t="s">
        <v>208</v>
      </c>
      <c r="E78" s="2" t="s">
        <v>24</v>
      </c>
      <c r="F78" t="s">
        <v>28</v>
      </c>
      <c r="G78" s="2" t="s">
        <v>29</v>
      </c>
      <c r="H78" s="2" t="s">
        <v>16</v>
      </c>
      <c r="I78" s="2" t="s">
        <v>169</v>
      </c>
      <c r="J78" s="2" t="s">
        <v>45</v>
      </c>
      <c r="K78" s="2" t="s">
        <v>205</v>
      </c>
      <c r="L78" s="2"/>
      <c r="M78" s="2"/>
      <c r="N78" s="2"/>
      <c r="O78" s="2" t="s">
        <v>206</v>
      </c>
      <c r="P78" s="2" t="s">
        <v>209</v>
      </c>
    </row>
    <row r="79" spans="1:16" ht="25.5">
      <c r="A79" s="4" t="s">
        <v>316</v>
      </c>
      <c r="B79" t="str">
        <f>HYPERLINK("https://www.onsemi.com/PowerSolutions/product.do?id=NCP5230","NCP5230")</f>
        <v>NCP5230</v>
      </c>
      <c r="C79" t="str">
        <f>HYPERLINK("https://www.onsemi.com/pub/Collateral/NCP5230-D.PDF","NCP5230/D (152.0kB)")</f>
        <v>NCP5230/D (152.0kB)</v>
      </c>
      <c r="D79" t="s">
        <v>210</v>
      </c>
      <c r="E79" s="2" t="s">
        <v>24</v>
      </c>
      <c r="F79" t="s">
        <v>28</v>
      </c>
      <c r="G79" s="2" t="s">
        <v>29</v>
      </c>
      <c r="H79" s="2" t="s">
        <v>16</v>
      </c>
      <c r="I79" t="s">
        <v>23</v>
      </c>
      <c r="J79" s="2" t="s">
        <v>45</v>
      </c>
      <c r="K79" s="2" t="s">
        <v>91</v>
      </c>
      <c r="L79" s="2"/>
      <c r="M79" s="2"/>
      <c r="N79" s="2"/>
      <c r="O79" t="s">
        <v>23</v>
      </c>
      <c r="P79" s="2" t="s">
        <v>207</v>
      </c>
    </row>
    <row r="80" spans="1:16" ht="25.5">
      <c r="A80" s="4" t="s">
        <v>316</v>
      </c>
      <c r="B80" t="str">
        <f>HYPERLINK("https://www.onsemi.com/PowerSolutions/product.do?id=NCP5269","NCP5269")</f>
        <v>NCP5269</v>
      </c>
      <c r="C80" t="str">
        <f>HYPERLINK("https://www.onsemi.com/pub/Collateral/NCP5269-D.PDF","NCP5269-D (165.0kB)")</f>
        <v>NCP5269-D (165.0kB)</v>
      </c>
      <c r="D80" t="s">
        <v>211</v>
      </c>
      <c r="E80" s="2" t="s">
        <v>24</v>
      </c>
      <c r="F80" t="s">
        <v>28</v>
      </c>
      <c r="G80" t="s">
        <v>23</v>
      </c>
      <c r="H80" s="2" t="s">
        <v>16</v>
      </c>
      <c r="I80" t="s">
        <v>23</v>
      </c>
      <c r="J80" t="s">
        <v>23</v>
      </c>
      <c r="K80" t="s">
        <v>23</v>
      </c>
      <c r="O80" t="s">
        <v>23</v>
      </c>
      <c r="P80" s="2" t="s">
        <v>212</v>
      </c>
    </row>
    <row r="81" spans="1:16" ht="25.5">
      <c r="A81" s="4" t="s">
        <v>316</v>
      </c>
      <c r="B81" t="str">
        <f>HYPERLINK("https://www.onsemi.com/PowerSolutions/product.do?id=NCP5380","NCP5380")</f>
        <v>NCP5380</v>
      </c>
      <c r="C81" t="str">
        <f>HYPERLINK("https://www.onsemi.com/pub/Collateral/NCP5380-D.PDF","NCP5380/D (508.0kB)")</f>
        <v>NCP5380/D (508.0kB)</v>
      </c>
      <c r="D81" t="s">
        <v>213</v>
      </c>
      <c r="E81" s="2" t="s">
        <v>24</v>
      </c>
      <c r="F81" t="s">
        <v>28</v>
      </c>
      <c r="G81" s="2" t="s">
        <v>29</v>
      </c>
      <c r="H81" s="2" t="s">
        <v>16</v>
      </c>
      <c r="I81" t="s">
        <v>23</v>
      </c>
      <c r="J81" t="s">
        <v>23</v>
      </c>
      <c r="K81" t="s">
        <v>23</v>
      </c>
      <c r="O81" t="s">
        <v>23</v>
      </c>
      <c r="P81" s="2" t="s">
        <v>32</v>
      </c>
    </row>
    <row r="82" spans="1:16" ht="25.5">
      <c r="A82" s="4" t="s">
        <v>316</v>
      </c>
      <c r="B82" t="str">
        <f>HYPERLINK("https://www.onsemi.com/PowerSolutions/product.do?id=NCP5425","NCP5425")</f>
        <v>NCP5425</v>
      </c>
      <c r="C82" t="str">
        <f>HYPERLINK("https://www.onsemi.com/pub/Collateral/NCP5425-D.PDF","NCP5425/D (172.0kB)")</f>
        <v>NCP5425/D (172.0kB)</v>
      </c>
      <c r="D82" t="s">
        <v>214</v>
      </c>
      <c r="E82" s="2" t="s">
        <v>24</v>
      </c>
      <c r="F82" t="s">
        <v>28</v>
      </c>
      <c r="G82" s="2" t="s">
        <v>29</v>
      </c>
      <c r="H82" s="2" t="s">
        <v>16</v>
      </c>
      <c r="I82" s="2" t="s">
        <v>215</v>
      </c>
      <c r="J82" s="2" t="s">
        <v>216</v>
      </c>
      <c r="K82" s="2" t="s">
        <v>91</v>
      </c>
      <c r="L82" s="2"/>
      <c r="M82" s="2"/>
      <c r="N82" s="2"/>
      <c r="O82" s="2" t="s">
        <v>217</v>
      </c>
      <c r="P82" s="2" t="s">
        <v>142</v>
      </c>
    </row>
    <row r="83" spans="1:16" ht="25.5">
      <c r="A83" s="4" t="s">
        <v>316</v>
      </c>
      <c r="B83" t="str">
        <f>HYPERLINK("https://www.onsemi.com/PowerSolutions/product.do?id=NCP6131","NCP6131")</f>
        <v>NCP6131</v>
      </c>
      <c r="D83" t="s">
        <v>218</v>
      </c>
      <c r="E83" s="2" t="s">
        <v>24</v>
      </c>
      <c r="F83" t="s">
        <v>28</v>
      </c>
      <c r="G83" t="s">
        <v>23</v>
      </c>
      <c r="H83" t="s">
        <v>23</v>
      </c>
      <c r="I83" t="s">
        <v>23</v>
      </c>
      <c r="J83" t="s">
        <v>23</v>
      </c>
      <c r="K83" t="s">
        <v>23</v>
      </c>
      <c r="O83" t="s">
        <v>23</v>
      </c>
      <c r="P83" s="2" t="s">
        <v>220</v>
      </c>
    </row>
    <row r="84" spans="1:16" ht="25.5">
      <c r="A84" s="4" t="s">
        <v>316</v>
      </c>
      <c r="B84" t="str">
        <f>HYPERLINK("https://www.onsemi.com/PowerSolutions/product.do?id=NCP6151","NCP6151")</f>
        <v>NCP6151</v>
      </c>
      <c r="D84" t="s">
        <v>221</v>
      </c>
      <c r="E84" s="2" t="s">
        <v>24</v>
      </c>
      <c r="F84" t="s">
        <v>28</v>
      </c>
      <c r="G84" t="s">
        <v>23</v>
      </c>
      <c r="H84" t="s">
        <v>23</v>
      </c>
      <c r="I84" t="s">
        <v>23</v>
      </c>
      <c r="J84" t="s">
        <v>23</v>
      </c>
      <c r="K84" t="s">
        <v>23</v>
      </c>
      <c r="O84" t="s">
        <v>23</v>
      </c>
      <c r="P84" s="2" t="s">
        <v>220</v>
      </c>
    </row>
    <row r="85" spans="1:16" ht="25.5">
      <c r="A85" s="4" t="s">
        <v>316</v>
      </c>
      <c r="B85" t="str">
        <f>HYPERLINK("https://www.onsemi.com/PowerSolutions/product.do?id=NCP81038","NCP81038")</f>
        <v>NCP81038</v>
      </c>
      <c r="C85" t="str">
        <f>HYPERLINK("https://www.onsemi.com/pub/Collateral/NCP81038-D.PDF","NCP81038/D (186563kB)")</f>
        <v>NCP81038/D (186563kB)</v>
      </c>
      <c r="D85" t="s">
        <v>222</v>
      </c>
      <c r="E85" s="2" t="s">
        <v>24</v>
      </c>
      <c r="F85" t="s">
        <v>28</v>
      </c>
      <c r="G85" t="s">
        <v>23</v>
      </c>
      <c r="H85" t="s">
        <v>23</v>
      </c>
      <c r="I85" t="s">
        <v>23</v>
      </c>
      <c r="J85" s="2" t="s">
        <v>223</v>
      </c>
      <c r="K85" s="2" t="s">
        <v>189</v>
      </c>
      <c r="L85" s="2"/>
      <c r="M85" s="2"/>
      <c r="N85" s="2"/>
      <c r="O85" t="s">
        <v>23</v>
      </c>
      <c r="P85" s="2" t="s">
        <v>224</v>
      </c>
    </row>
    <row r="86" spans="1:16" ht="25.5">
      <c r="A86" s="4" t="s">
        <v>316</v>
      </c>
      <c r="B86" t="str">
        <f>HYPERLINK("https://www.onsemi.com/PowerSolutions/product.do?id=NCP81111","NCP81111")</f>
        <v>NCP81111</v>
      </c>
      <c r="D86" t="s">
        <v>225</v>
      </c>
      <c r="E86" s="2" t="s">
        <v>24</v>
      </c>
      <c r="F86" t="s">
        <v>28</v>
      </c>
      <c r="G86" s="2" t="s">
        <v>29</v>
      </c>
      <c r="H86" s="2" t="s">
        <v>226</v>
      </c>
      <c r="I86" s="2" t="s">
        <v>135</v>
      </c>
      <c r="J86" s="2" t="s">
        <v>216</v>
      </c>
      <c r="K86" s="2" t="s">
        <v>227</v>
      </c>
      <c r="L86" s="2"/>
      <c r="M86" s="2"/>
      <c r="N86" s="2"/>
      <c r="O86" s="2" t="s">
        <v>228</v>
      </c>
      <c r="P86" s="2" t="s">
        <v>32</v>
      </c>
    </row>
    <row r="87" spans="1:16" ht="25.5">
      <c r="A87" s="4" t="s">
        <v>316</v>
      </c>
      <c r="B87" t="str">
        <f>HYPERLINK("https://www.onsemi.com/PowerSolutions/product.do?id=NCP81140","NCP81140")</f>
        <v>NCP81140</v>
      </c>
      <c r="C87" t="str">
        <f>HYPERLINK("https://www.onsemi.com/pub/Collateral/NCP81140-D.PDF","NCP81140/D (231kB)")</f>
        <v>NCP81140/D (231kB)</v>
      </c>
      <c r="D87" t="s">
        <v>229</v>
      </c>
      <c r="E87" s="2" t="s">
        <v>24</v>
      </c>
      <c r="F87" t="s">
        <v>28</v>
      </c>
      <c r="G87" s="2" t="s">
        <v>29</v>
      </c>
      <c r="H87" t="s">
        <v>23</v>
      </c>
      <c r="I87" s="2" t="s">
        <v>135</v>
      </c>
      <c r="J87" s="2" t="s">
        <v>216</v>
      </c>
      <c r="K87" s="2" t="s">
        <v>227</v>
      </c>
      <c r="L87" s="2"/>
      <c r="M87" s="2"/>
      <c r="N87" s="2"/>
      <c r="O87" s="2" t="s">
        <v>230</v>
      </c>
      <c r="P87" s="2" t="s">
        <v>32</v>
      </c>
    </row>
    <row r="88" spans="1:16" ht="25.5">
      <c r="A88" s="4" t="s">
        <v>316</v>
      </c>
      <c r="B88" t="str">
        <f>HYPERLINK("https://www.onsemi.com/PowerSolutions/product.do?id=NCP81141","NCP81141")</f>
        <v>NCP81141</v>
      </c>
      <c r="C88" t="str">
        <f>HYPERLINK("https://www.onsemi.com/pub/Collateral/NCP81141-D.PDF","NCP81141/D (445kB)")</f>
        <v>NCP81141/D (445kB)</v>
      </c>
      <c r="D88" t="s">
        <v>231</v>
      </c>
      <c r="E88" s="2" t="s">
        <v>24</v>
      </c>
      <c r="F88" t="s">
        <v>28</v>
      </c>
      <c r="G88" s="2" t="s">
        <v>29</v>
      </c>
      <c r="H88" s="2" t="s">
        <v>16</v>
      </c>
      <c r="I88" s="2" t="s">
        <v>135</v>
      </c>
      <c r="J88" s="2" t="s">
        <v>216</v>
      </c>
      <c r="K88" s="2" t="s">
        <v>227</v>
      </c>
      <c r="L88" s="2"/>
      <c r="M88" s="2"/>
      <c r="N88" s="2"/>
      <c r="O88" s="2" t="s">
        <v>129</v>
      </c>
      <c r="P88" s="2" t="s">
        <v>224</v>
      </c>
    </row>
    <row r="89" spans="1:16" ht="25.5">
      <c r="A89" s="4" t="s">
        <v>316</v>
      </c>
      <c r="B89" t="str">
        <f>HYPERLINK("https://www.onsemi.com/PowerSolutions/product.do?id=NCP81142","NCP81142")</f>
        <v>NCP81142</v>
      </c>
      <c r="C89" t="str">
        <f>HYPERLINK("https://www.onsemi.com/pub/Collateral/NCP81142-D.PDF","NCP81142/D (241kB)")</f>
        <v>NCP81142/D (241kB)</v>
      </c>
      <c r="D89" t="s">
        <v>232</v>
      </c>
      <c r="E89" s="2" t="s">
        <v>24</v>
      </c>
      <c r="F89" t="s">
        <v>28</v>
      </c>
      <c r="G89" s="2" t="s">
        <v>29</v>
      </c>
      <c r="H89" t="s">
        <v>23</v>
      </c>
      <c r="I89" s="2" t="s">
        <v>135</v>
      </c>
      <c r="J89" s="2" t="s">
        <v>216</v>
      </c>
      <c r="K89" s="2" t="s">
        <v>227</v>
      </c>
      <c r="L89" s="2"/>
      <c r="M89" s="2"/>
      <c r="N89" s="2"/>
      <c r="O89" s="2" t="s">
        <v>233</v>
      </c>
      <c r="P89" s="2" t="s">
        <v>32</v>
      </c>
    </row>
    <row r="90" spans="1:16" ht="25.5">
      <c r="A90" s="4" t="s">
        <v>316</v>
      </c>
      <c r="B90" t="str">
        <f>HYPERLINK("https://www.onsemi.com/PowerSolutions/product.do?id=NCP81143","NCP81143")</f>
        <v>NCP81143</v>
      </c>
      <c r="C90" t="str">
        <f>HYPERLINK("https://www.onsemi.com/pub/Collateral/NCP81143-D.PDF","NCP81143/D (323kB)")</f>
        <v>NCP81143/D (323kB)</v>
      </c>
      <c r="D90" t="s">
        <v>232</v>
      </c>
      <c r="E90" s="2" t="s">
        <v>24</v>
      </c>
      <c r="F90" t="s">
        <v>28</v>
      </c>
      <c r="G90" s="2" t="s">
        <v>29</v>
      </c>
      <c r="H90" s="2" t="s">
        <v>226</v>
      </c>
      <c r="I90" s="2" t="s">
        <v>135</v>
      </c>
      <c r="J90" s="2" t="s">
        <v>216</v>
      </c>
      <c r="K90" s="2" t="s">
        <v>227</v>
      </c>
      <c r="L90" s="2"/>
      <c r="M90" s="2"/>
      <c r="N90" s="2"/>
      <c r="O90" s="2" t="s">
        <v>129</v>
      </c>
      <c r="P90" s="2" t="s">
        <v>234</v>
      </c>
    </row>
    <row r="91" spans="1:16">
      <c r="A91" s="4" t="s">
        <v>316</v>
      </c>
      <c r="B91" t="str">
        <f>HYPERLINK("https://www.onsemi.com/PowerSolutions/product.do?id=NCP81147","NCP81147")</f>
        <v>NCP81147</v>
      </c>
      <c r="C91" t="str">
        <f>HYPERLINK("https://www.onsemi.com/pub/Collateral/NCP81147-D.PDF","NCP81147/D (114kB)")</f>
        <v>NCP81147/D (114kB)</v>
      </c>
      <c r="D91" t="s">
        <v>235</v>
      </c>
      <c r="E91" s="2" t="s">
        <v>70</v>
      </c>
      <c r="F91" t="s">
        <v>28</v>
      </c>
      <c r="G91" s="2" t="s">
        <v>29</v>
      </c>
      <c r="H91" s="2" t="s">
        <v>16</v>
      </c>
      <c r="I91" t="s">
        <v>23</v>
      </c>
      <c r="J91" s="2" t="s">
        <v>45</v>
      </c>
      <c r="K91" s="2" t="s">
        <v>91</v>
      </c>
      <c r="L91" s="2"/>
      <c r="M91" s="2"/>
      <c r="N91" s="2"/>
      <c r="O91" t="s">
        <v>23</v>
      </c>
      <c r="P91" s="2" t="s">
        <v>207</v>
      </c>
    </row>
    <row r="92" spans="1:16" ht="25.5">
      <c r="A92" s="4" t="s">
        <v>316</v>
      </c>
      <c r="B92" t="str">
        <f>HYPERLINK("https://www.onsemi.com/PowerSolutions/product.do?id=NCP81148","NCP81148")</f>
        <v>NCP81148</v>
      </c>
      <c r="C92" t="str">
        <f>HYPERLINK("https://www.onsemi.com/pub/Collateral/NCP81148-D.PDF","NCP81148/D (184kB)")</f>
        <v>NCP81148/D (184kB)</v>
      </c>
      <c r="D92" t="s">
        <v>236</v>
      </c>
      <c r="E92" s="2" t="s">
        <v>24</v>
      </c>
      <c r="F92" t="s">
        <v>28</v>
      </c>
      <c r="G92" s="2" t="s">
        <v>29</v>
      </c>
      <c r="H92" s="2" t="s">
        <v>16</v>
      </c>
      <c r="I92" s="2" t="s">
        <v>135</v>
      </c>
      <c r="J92" s="2" t="s">
        <v>223</v>
      </c>
      <c r="K92" s="2" t="s">
        <v>189</v>
      </c>
      <c r="L92" s="2"/>
      <c r="M92" s="2"/>
      <c r="N92" s="2"/>
      <c r="O92" s="2" t="s">
        <v>237</v>
      </c>
      <c r="P92" s="2" t="s">
        <v>224</v>
      </c>
    </row>
    <row r="93" spans="1:16" ht="25.5">
      <c r="A93" s="4" t="s">
        <v>316</v>
      </c>
      <c r="B93" t="str">
        <f>HYPERLINK("https://www.onsemi.com/PowerSolutions/product.do?id=NCP81149","NCP81149")</f>
        <v>NCP81149</v>
      </c>
      <c r="C93" t="str">
        <f>HYPERLINK("https://www.onsemi.com/pub/Collateral/NCP81149-D.PDF","NCP81149/D (303kB)")</f>
        <v>NCP81149/D (303kB)</v>
      </c>
      <c r="D93" t="s">
        <v>238</v>
      </c>
      <c r="E93" s="2" t="s">
        <v>24</v>
      </c>
      <c r="F93" t="s">
        <v>28</v>
      </c>
      <c r="G93" s="2" t="s">
        <v>29</v>
      </c>
      <c r="H93" s="2" t="s">
        <v>16</v>
      </c>
      <c r="I93" s="2" t="s">
        <v>17</v>
      </c>
      <c r="J93" s="2" t="s">
        <v>45</v>
      </c>
      <c r="K93" s="2" t="s">
        <v>87</v>
      </c>
      <c r="L93" s="2"/>
      <c r="M93" s="2"/>
      <c r="N93" s="2"/>
      <c r="O93" s="2" t="s">
        <v>239</v>
      </c>
      <c r="P93" s="2" t="s">
        <v>203</v>
      </c>
    </row>
    <row r="94" spans="1:16" ht="25.5">
      <c r="A94" s="4" t="s">
        <v>316</v>
      </c>
      <c r="B94" t="str">
        <f>HYPERLINK("https://www.onsemi.com/PowerSolutions/product.do?id=NCP81174","NCP81174")</f>
        <v>NCP81174</v>
      </c>
      <c r="C94" t="str">
        <f>HYPERLINK("https://www.onsemi.com/pub/Collateral/NCP81174-D.PDF","NCP81174/D (148kB)")</f>
        <v>NCP81174/D (148kB)</v>
      </c>
      <c r="D94" t="s">
        <v>240</v>
      </c>
      <c r="E94" s="2" t="s">
        <v>24</v>
      </c>
      <c r="F94" t="s">
        <v>28</v>
      </c>
      <c r="G94" t="s">
        <v>23</v>
      </c>
      <c r="H94" t="s">
        <v>23</v>
      </c>
      <c r="I94" t="s">
        <v>23</v>
      </c>
      <c r="J94" t="s">
        <v>23</v>
      </c>
      <c r="K94" t="s">
        <v>23</v>
      </c>
      <c r="O94" t="s">
        <v>23</v>
      </c>
      <c r="P94" s="2" t="s">
        <v>32</v>
      </c>
    </row>
    <row r="95" spans="1:16" ht="25.5">
      <c r="A95" s="4" t="s">
        <v>316</v>
      </c>
      <c r="B95" t="str">
        <f>HYPERLINK("https://www.onsemi.com/PowerSolutions/product.do?id=NCP81174N","NCP81174N")</f>
        <v>NCP81174N</v>
      </c>
      <c r="C95" t="str">
        <f>HYPERLINK("https://www.onsemi.com/pub/Collateral/NCP81174N-D.PDF","NCP81174N/D (207kB)")</f>
        <v>NCP81174N/D (207kB)</v>
      </c>
      <c r="D95" t="s">
        <v>240</v>
      </c>
      <c r="E95" s="2" t="s">
        <v>24</v>
      </c>
      <c r="F95" t="s">
        <v>28</v>
      </c>
      <c r="G95" t="s">
        <v>23</v>
      </c>
      <c r="H95" t="s">
        <v>23</v>
      </c>
      <c r="I95" t="s">
        <v>23</v>
      </c>
      <c r="J95" s="2" t="s">
        <v>241</v>
      </c>
      <c r="K95" s="2" t="s">
        <v>241</v>
      </c>
      <c r="L95" s="2"/>
      <c r="M95" s="2"/>
      <c r="N95" s="2"/>
      <c r="O95" s="2" t="s">
        <v>242</v>
      </c>
      <c r="P95" s="2" t="s">
        <v>32</v>
      </c>
    </row>
    <row r="96" spans="1:16" ht="25.5">
      <c r="A96" s="4" t="s">
        <v>316</v>
      </c>
      <c r="B96" t="str">
        <f>HYPERLINK("https://www.onsemi.com/PowerSolutions/product.do?id=NCP81230H","NCP81230H")</f>
        <v>NCP81230H</v>
      </c>
      <c r="C96" t="str">
        <f>HYPERLINK("https://www.onsemi.com/pub/Collateral/NCP81230H-D.PDF","NCP81230H/D (109kB)")</f>
        <v>NCP81230H/D (109kB)</v>
      </c>
      <c r="D96" t="s">
        <v>243</v>
      </c>
      <c r="E96" s="2" t="s">
        <v>24</v>
      </c>
      <c r="F96" t="s">
        <v>28</v>
      </c>
      <c r="G96" t="s">
        <v>23</v>
      </c>
      <c r="H96" t="s">
        <v>23</v>
      </c>
      <c r="I96" t="s">
        <v>23</v>
      </c>
      <c r="J96" t="s">
        <v>23</v>
      </c>
      <c r="K96" t="s">
        <v>23</v>
      </c>
      <c r="O96" t="s">
        <v>23</v>
      </c>
      <c r="P96" s="2" t="s">
        <v>207</v>
      </c>
    </row>
    <row r="97" spans="1:16" ht="25.5">
      <c r="A97" s="4" t="s">
        <v>316</v>
      </c>
      <c r="B97" t="str">
        <f>HYPERLINK("https://www.onsemi.com/PowerSolutions/product.do?id=NCP81231","NCP81231")</f>
        <v>NCP81231</v>
      </c>
      <c r="C97" t="str">
        <f>HYPERLINK("https://www.onsemi.com/pub/Collateral/NCP81231-D.PDF","NCP81231/D (263kB)")</f>
        <v>NCP81231/D (263kB)</v>
      </c>
      <c r="D97" t="s">
        <v>244</v>
      </c>
      <c r="E97" s="2" t="s">
        <v>24</v>
      </c>
      <c r="F97" t="s">
        <v>28</v>
      </c>
      <c r="G97" s="2" t="s">
        <v>29</v>
      </c>
      <c r="H97" s="2" t="s">
        <v>16</v>
      </c>
      <c r="I97" s="2" t="s">
        <v>169</v>
      </c>
      <c r="J97" s="2" t="s">
        <v>45</v>
      </c>
      <c r="K97" s="2" t="s">
        <v>189</v>
      </c>
      <c r="L97" s="2"/>
      <c r="M97" s="2"/>
      <c r="N97" s="2"/>
      <c r="O97" s="2" t="s">
        <v>245</v>
      </c>
      <c r="P97" s="2" t="s">
        <v>32</v>
      </c>
    </row>
    <row r="98" spans="1:16" ht="25.5">
      <c r="A98" s="4" t="s">
        <v>316</v>
      </c>
      <c r="B98" t="str">
        <f>HYPERLINK("https://www.onsemi.com/PowerSolutions/product.do?id=NCP81232","NCP81232")</f>
        <v>NCP81232</v>
      </c>
      <c r="C98" t="str">
        <f>HYPERLINK("https://www.onsemi.com/pub/Collateral/NCP81232-D.PDF","NCP81232/D (305kB)")</f>
        <v>NCP81232/D (305kB)</v>
      </c>
      <c r="D98" t="s">
        <v>246</v>
      </c>
      <c r="E98" s="2" t="s">
        <v>24</v>
      </c>
      <c r="F98" t="s">
        <v>28</v>
      </c>
      <c r="G98" s="2" t="s">
        <v>29</v>
      </c>
      <c r="H98" s="2" t="s">
        <v>196</v>
      </c>
      <c r="I98" s="2" t="s">
        <v>169</v>
      </c>
      <c r="J98" s="2" t="s">
        <v>45</v>
      </c>
      <c r="K98" s="2" t="s">
        <v>198</v>
      </c>
      <c r="L98" s="2"/>
      <c r="M98" s="2"/>
      <c r="N98" s="2"/>
      <c r="O98" s="2" t="s">
        <v>247</v>
      </c>
      <c r="P98" s="2" t="s">
        <v>200</v>
      </c>
    </row>
    <row r="99" spans="1:16" ht="25.5">
      <c r="A99" s="4" t="s">
        <v>316</v>
      </c>
      <c r="B99" t="str">
        <f>HYPERLINK("https://www.onsemi.com/PowerSolutions/product.do?id=NCP81233","NCP81233")</f>
        <v>NCP81233</v>
      </c>
      <c r="C99" t="str">
        <f>HYPERLINK("https://www.onsemi.com/pub/Collateral/NCP81233-D.PDF","NCP81233/D (363kB)")</f>
        <v>NCP81233/D (363kB)</v>
      </c>
      <c r="D99" t="s">
        <v>248</v>
      </c>
      <c r="E99" s="2" t="s">
        <v>24</v>
      </c>
      <c r="F99" t="s">
        <v>28</v>
      </c>
      <c r="G99" s="2" t="s">
        <v>29</v>
      </c>
      <c r="H99" s="2" t="s">
        <v>249</v>
      </c>
      <c r="I99" s="2" t="s">
        <v>169</v>
      </c>
      <c r="J99" s="2" t="s">
        <v>45</v>
      </c>
      <c r="K99" s="2" t="s">
        <v>250</v>
      </c>
      <c r="L99" s="2"/>
      <c r="M99" s="2"/>
      <c r="N99" s="2"/>
      <c r="O99" s="2" t="s">
        <v>251</v>
      </c>
      <c r="P99" s="2" t="s">
        <v>220</v>
      </c>
    </row>
    <row r="100" spans="1:16" ht="25.5">
      <c r="A100" s="4" t="s">
        <v>316</v>
      </c>
      <c r="B100" t="str">
        <f>HYPERLINK("https://www.onsemi.com/PowerSolutions/product.do?id=NCP81234","NCP81234")</f>
        <v>NCP81234</v>
      </c>
      <c r="C100" t="str">
        <f>HYPERLINK("https://www.onsemi.com/pub/Collateral/NCP81234-D.PDF","NCP81234/D (195kB)")</f>
        <v>NCP81234/D (195kB)</v>
      </c>
      <c r="D100" t="s">
        <v>246</v>
      </c>
      <c r="E100" s="2" t="s">
        <v>24</v>
      </c>
      <c r="F100" t="s">
        <v>28</v>
      </c>
      <c r="G100" s="2" t="s">
        <v>29</v>
      </c>
      <c r="H100" s="2" t="s">
        <v>252</v>
      </c>
      <c r="I100" s="2" t="s">
        <v>169</v>
      </c>
      <c r="J100" s="2" t="s">
        <v>45</v>
      </c>
      <c r="K100" s="2" t="s">
        <v>198</v>
      </c>
      <c r="L100" s="2"/>
      <c r="M100" s="2"/>
      <c r="N100" s="2"/>
      <c r="O100" s="2" t="s">
        <v>247</v>
      </c>
      <c r="P100" s="2" t="s">
        <v>224</v>
      </c>
    </row>
    <row r="101" spans="1:16" ht="25.5">
      <c r="A101" s="4" t="s">
        <v>316</v>
      </c>
      <c r="B101" t="str">
        <f>HYPERLINK("https://www.onsemi.com/PowerSolutions/product.do?id=NCP81239","NCP81239")</f>
        <v>NCP81239</v>
      </c>
      <c r="C101" t="str">
        <f>HYPERLINK("https://www.onsemi.com/pub/Collateral/NCP81239-D.PDF","NCP81239/D (309kB)")</f>
        <v>NCP81239/D (309kB)</v>
      </c>
      <c r="D101" t="s">
        <v>253</v>
      </c>
      <c r="E101" s="2" t="s">
        <v>24</v>
      </c>
      <c r="F101" t="s">
        <v>28</v>
      </c>
      <c r="G101" s="2" t="s">
        <v>254</v>
      </c>
      <c r="H101" s="2" t="s">
        <v>16</v>
      </c>
      <c r="I101" s="2" t="s">
        <v>17</v>
      </c>
      <c r="J101" s="2" t="s">
        <v>45</v>
      </c>
      <c r="K101" s="2" t="s">
        <v>189</v>
      </c>
      <c r="L101" s="2"/>
      <c r="M101" s="2"/>
      <c r="N101" s="2"/>
      <c r="O101" s="2" t="s">
        <v>245</v>
      </c>
      <c r="P101" s="2" t="s">
        <v>32</v>
      </c>
    </row>
    <row r="102" spans="1:16" ht="25.5">
      <c r="A102" s="4" t="s">
        <v>316</v>
      </c>
      <c r="B102" t="str">
        <f>HYPERLINK("https://www.onsemi.com/PowerSolutions/product.do?id=NCP81241","NCP81241")</f>
        <v>NCP81241</v>
      </c>
      <c r="C102" t="str">
        <f>HYPERLINK("https://www.onsemi.com/pub/Collateral/NCP81241-D.PDF","NCP81241/D (380kB)")</f>
        <v>NCP81241/D (380kB)</v>
      </c>
      <c r="D102" t="s">
        <v>255</v>
      </c>
      <c r="E102" s="2" t="s">
        <v>24</v>
      </c>
      <c r="F102" t="s">
        <v>28</v>
      </c>
      <c r="G102" s="2" t="s">
        <v>29</v>
      </c>
      <c r="H102" s="2" t="s">
        <v>16</v>
      </c>
      <c r="I102" s="2" t="s">
        <v>44</v>
      </c>
      <c r="J102" s="2" t="s">
        <v>216</v>
      </c>
      <c r="K102" s="2" t="s">
        <v>227</v>
      </c>
      <c r="L102" s="2"/>
      <c r="M102" s="2"/>
      <c r="N102" s="2"/>
      <c r="O102" s="2" t="s">
        <v>256</v>
      </c>
      <c r="P102" s="2" t="s">
        <v>224</v>
      </c>
    </row>
    <row r="103" spans="1:16" ht="25.5">
      <c r="A103" s="4" t="s">
        <v>316</v>
      </c>
      <c r="B103" t="str">
        <f>HYPERLINK("https://www.onsemi.com/PowerSolutions/product.do?id=NCP81243","NCP81243")</f>
        <v>NCP81243</v>
      </c>
      <c r="C103" t="str">
        <f>HYPERLINK("https://www.onsemi.com/pub/Collateral/NCP81243-D.PDF","NCP81243/D (335kB)")</f>
        <v>NCP81243/D (335kB)</v>
      </c>
      <c r="D103" t="s">
        <v>257</v>
      </c>
      <c r="E103" s="2" t="s">
        <v>24</v>
      </c>
      <c r="F103" t="s">
        <v>28</v>
      </c>
      <c r="G103" s="2" t="s">
        <v>29</v>
      </c>
      <c r="H103" s="2" t="s">
        <v>226</v>
      </c>
      <c r="I103" s="2" t="s">
        <v>135</v>
      </c>
      <c r="J103" s="2" t="s">
        <v>216</v>
      </c>
      <c r="K103" s="2" t="s">
        <v>227</v>
      </c>
      <c r="L103" s="2"/>
      <c r="M103" s="2"/>
      <c r="N103" s="2"/>
      <c r="O103" s="2" t="s">
        <v>258</v>
      </c>
      <c r="P103" s="2" t="s">
        <v>220</v>
      </c>
    </row>
    <row r="104" spans="1:16" ht="25.5">
      <c r="A104" s="4" t="s">
        <v>316</v>
      </c>
      <c r="B104" t="str">
        <f>HYPERLINK("https://www.onsemi.com/PowerSolutions/product.do?id=NCP81245","NCP81245")</f>
        <v>NCP81245</v>
      </c>
      <c r="C104" t="str">
        <f>HYPERLINK("https://www.onsemi.com/pub/Collateral/NCP81245-D.PDF","NCP81245/D (280kB)")</f>
        <v>NCP81245/D (280kB)</v>
      </c>
      <c r="D104" t="s">
        <v>259</v>
      </c>
      <c r="E104" s="2" t="s">
        <v>24</v>
      </c>
      <c r="F104" t="s">
        <v>28</v>
      </c>
      <c r="G104" s="2" t="s">
        <v>29</v>
      </c>
      <c r="H104" s="2" t="s">
        <v>196</v>
      </c>
      <c r="I104" s="2" t="s">
        <v>135</v>
      </c>
      <c r="J104" s="2" t="s">
        <v>216</v>
      </c>
      <c r="K104" s="2" t="s">
        <v>227</v>
      </c>
      <c r="L104" s="2"/>
      <c r="M104" s="2"/>
      <c r="N104" s="2"/>
      <c r="O104" s="2" t="s">
        <v>258</v>
      </c>
      <c r="P104" s="2" t="s">
        <v>220</v>
      </c>
    </row>
    <row r="105" spans="1:16" ht="25.5">
      <c r="A105" s="4" t="s">
        <v>316</v>
      </c>
      <c r="B105" t="str">
        <f>HYPERLINK("https://www.onsemi.com/PowerSolutions/product.do?id=NCP81246","NCP81246")</f>
        <v>NCP81246</v>
      </c>
      <c r="C105" t="str">
        <f>HYPERLINK("https://www.onsemi.com/pub/Collateral/NCP81246-D.PDF","NCP81246/D (180kB)")</f>
        <v>NCP81246/D (180kB)</v>
      </c>
      <c r="D105" t="s">
        <v>260</v>
      </c>
      <c r="E105" s="2" t="s">
        <v>24</v>
      </c>
      <c r="F105" t="s">
        <v>28</v>
      </c>
      <c r="G105" s="2" t="s">
        <v>29</v>
      </c>
      <c r="H105" s="2" t="s">
        <v>261</v>
      </c>
      <c r="I105" s="2" t="s">
        <v>135</v>
      </c>
      <c r="J105" s="2" t="s">
        <v>216</v>
      </c>
      <c r="K105" s="2" t="s">
        <v>227</v>
      </c>
      <c r="L105" s="2"/>
      <c r="M105" s="2"/>
      <c r="N105" s="2"/>
      <c r="O105" s="2" t="s">
        <v>262</v>
      </c>
      <c r="P105" s="2" t="s">
        <v>220</v>
      </c>
    </row>
    <row r="106" spans="1:16" ht="25.5">
      <c r="A106" s="4" t="s">
        <v>316</v>
      </c>
      <c r="B106" t="str">
        <f>HYPERLINK("https://www.onsemi.com/PowerSolutions/product.do?id=NCP81248","NCP81248")</f>
        <v>NCP81248</v>
      </c>
      <c r="C106" t="str">
        <f>HYPERLINK("https://www.onsemi.com/pub/Collateral/NCP81248-D.PDF","NCP81248/D (305kB)")</f>
        <v>NCP81248/D (305kB)</v>
      </c>
      <c r="D106" t="s">
        <v>263</v>
      </c>
      <c r="E106" s="2" t="s">
        <v>24</v>
      </c>
      <c r="F106" t="s">
        <v>28</v>
      </c>
      <c r="G106" s="2" t="s">
        <v>29</v>
      </c>
      <c r="H106" s="2" t="s">
        <v>261</v>
      </c>
      <c r="I106" s="2" t="s">
        <v>169</v>
      </c>
      <c r="J106" s="2" t="s">
        <v>216</v>
      </c>
      <c r="K106" s="2" t="s">
        <v>264</v>
      </c>
      <c r="L106" s="2"/>
      <c r="M106" s="2"/>
      <c r="N106" s="2"/>
      <c r="O106" s="2" t="s">
        <v>247</v>
      </c>
      <c r="P106" s="2" t="s">
        <v>203</v>
      </c>
    </row>
    <row r="107" spans="1:16" ht="25.5">
      <c r="A107" s="4" t="s">
        <v>316</v>
      </c>
      <c r="B107" t="str">
        <f>HYPERLINK("https://www.onsemi.com/PowerSolutions/product.do?id=NCP81251","NCP81251")</f>
        <v>NCP81251</v>
      </c>
      <c r="C107" t="str">
        <f>HYPERLINK("https://www.onsemi.com/pub/Collateral/NCP81251-D.PDF","NCP81251/D (295kB)")</f>
        <v>NCP81251/D (295kB)</v>
      </c>
      <c r="D107" t="s">
        <v>265</v>
      </c>
      <c r="E107" s="2" t="s">
        <v>24</v>
      </c>
      <c r="F107" t="s">
        <v>28</v>
      </c>
      <c r="G107" s="2" t="s">
        <v>29</v>
      </c>
      <c r="H107" s="2" t="s">
        <v>16</v>
      </c>
      <c r="I107" s="2" t="s">
        <v>135</v>
      </c>
      <c r="J107" s="2" t="s">
        <v>216</v>
      </c>
      <c r="K107" s="2" t="s">
        <v>266</v>
      </c>
      <c r="L107" s="2"/>
      <c r="M107" s="2"/>
      <c r="N107" s="2"/>
      <c r="O107" s="2" t="s">
        <v>239</v>
      </c>
      <c r="P107" s="2" t="s">
        <v>203</v>
      </c>
    </row>
    <row r="108" spans="1:16" ht="25.5">
      <c r="A108" s="4" t="s">
        <v>316</v>
      </c>
      <c r="B108" t="str">
        <f>HYPERLINK("https://www.onsemi.com/PowerSolutions/product.do?id=NCP81252","NCP81252")</f>
        <v>NCP81252</v>
      </c>
      <c r="C108" t="str">
        <f>HYPERLINK("https://www.onsemi.com/pub/Collateral/NCP81252-D.PDF","NCP81252/D (295kB)")</f>
        <v>NCP81252/D (295kB)</v>
      </c>
      <c r="D108" t="s">
        <v>265</v>
      </c>
      <c r="E108" s="2" t="s">
        <v>24</v>
      </c>
      <c r="F108" t="s">
        <v>28</v>
      </c>
      <c r="G108" s="2" t="s">
        <v>29</v>
      </c>
      <c r="H108" s="2" t="s">
        <v>16</v>
      </c>
      <c r="I108" s="2" t="s">
        <v>135</v>
      </c>
      <c r="J108" s="2" t="s">
        <v>216</v>
      </c>
      <c r="K108" s="2" t="s">
        <v>266</v>
      </c>
      <c r="L108" s="2"/>
      <c r="M108" s="2"/>
      <c r="N108" s="2"/>
      <c r="O108" s="2" t="s">
        <v>239</v>
      </c>
      <c r="P108" s="2" t="s">
        <v>203</v>
      </c>
    </row>
    <row r="109" spans="1:16" ht="25.5">
      <c r="A109" s="4" t="s">
        <v>316</v>
      </c>
      <c r="B109" t="str">
        <f>HYPERLINK("https://www.onsemi.com/PowerSolutions/product.do?id=NCP81255","NCP81255")</f>
        <v>NCP81255</v>
      </c>
      <c r="C109" t="str">
        <f>HYPERLINK("https://www.onsemi.com/pub/Collateral/NCP81255-D.PDF","NCP81255/D (144kB)")</f>
        <v>NCP81255/D (144kB)</v>
      </c>
      <c r="D109" t="s">
        <v>267</v>
      </c>
      <c r="E109" s="2" t="s">
        <v>24</v>
      </c>
      <c r="F109" t="s">
        <v>28</v>
      </c>
      <c r="G109" s="2" t="s">
        <v>15</v>
      </c>
      <c r="H109" s="2" t="s">
        <v>16</v>
      </c>
      <c r="I109" s="2" t="s">
        <v>17</v>
      </c>
      <c r="J109" s="2" t="s">
        <v>216</v>
      </c>
      <c r="K109" s="2" t="s">
        <v>227</v>
      </c>
      <c r="L109" s="2"/>
      <c r="M109" s="2"/>
      <c r="N109" s="2"/>
      <c r="O109" s="2" t="s">
        <v>268</v>
      </c>
      <c r="P109" s="2" t="s">
        <v>200</v>
      </c>
    </row>
    <row r="110" spans="1:16" ht="25.5">
      <c r="A110" s="4" t="s">
        <v>316</v>
      </c>
      <c r="B110" t="str">
        <f>HYPERLINK("https://www.onsemi.com/PowerSolutions/product.do?id=NCP81274","NCP81274")</f>
        <v>NCP81274</v>
      </c>
      <c r="C110" t="str">
        <f>HYPERLINK("https://www.onsemi.com/pub/Collateral/NCP81274-D.PDF","NCP81274/D (208kB)")</f>
        <v>NCP81274/D (208kB)</v>
      </c>
      <c r="D110" t="s">
        <v>240</v>
      </c>
      <c r="E110" s="2" t="s">
        <v>24</v>
      </c>
      <c r="F110" t="s">
        <v>28</v>
      </c>
      <c r="G110" t="s">
        <v>23</v>
      </c>
      <c r="H110" t="s">
        <v>23</v>
      </c>
      <c r="I110" t="s">
        <v>23</v>
      </c>
      <c r="J110" t="s">
        <v>23</v>
      </c>
      <c r="K110" t="s">
        <v>23</v>
      </c>
      <c r="O110" t="s">
        <v>23</v>
      </c>
      <c r="P110" s="2" t="s">
        <v>200</v>
      </c>
    </row>
    <row r="111" spans="1:16" ht="25.5">
      <c r="A111" s="4" t="s">
        <v>316</v>
      </c>
      <c r="B111" t="str">
        <f>HYPERLINK("https://www.onsemi.com/PowerSolutions/product.do?id=NCP81276","NCP81276")</f>
        <v>NCP81276</v>
      </c>
      <c r="C111" t="str">
        <f>HYPERLINK("https://www.onsemi.com/pub/Collateral/NCP81276-D.PDF","NCP81276/D (197kB)")</f>
        <v>NCP81276/D (197kB)</v>
      </c>
      <c r="D111" t="s">
        <v>240</v>
      </c>
      <c r="E111" s="2" t="s">
        <v>24</v>
      </c>
      <c r="F111" t="s">
        <v>28</v>
      </c>
      <c r="G111" t="s">
        <v>23</v>
      </c>
      <c r="H111" t="s">
        <v>23</v>
      </c>
      <c r="I111" t="s">
        <v>23</v>
      </c>
      <c r="J111" t="s">
        <v>23</v>
      </c>
      <c r="K111" t="s">
        <v>23</v>
      </c>
      <c r="O111" t="s">
        <v>23</v>
      </c>
      <c r="P111" s="2" t="s">
        <v>200</v>
      </c>
    </row>
    <row r="112" spans="1:16" ht="25.5">
      <c r="A112" s="4" t="s">
        <v>316</v>
      </c>
      <c r="B112" t="str">
        <f>HYPERLINK("https://www.onsemi.com/PowerSolutions/product.do?id=NCP81610","NCP81610")</f>
        <v>NCP81610</v>
      </c>
      <c r="C112" t="str">
        <f>HYPERLINK("https://www.onsemi.com/pub/Collateral/NCP81610-D.PDF","NCP81610/D (485kB)")</f>
        <v>NCP81610/D (485kB)</v>
      </c>
      <c r="D112" t="s">
        <v>269</v>
      </c>
      <c r="E112" s="2" t="s">
        <v>24</v>
      </c>
      <c r="F112" t="s">
        <v>28</v>
      </c>
      <c r="G112" t="s">
        <v>23</v>
      </c>
      <c r="H112" t="s">
        <v>23</v>
      </c>
      <c r="I112" t="s">
        <v>23</v>
      </c>
      <c r="J112" t="s">
        <v>23</v>
      </c>
      <c r="K112" t="s">
        <v>23</v>
      </c>
      <c r="O112" t="s">
        <v>23</v>
      </c>
      <c r="P112" s="2" t="s">
        <v>200</v>
      </c>
    </row>
    <row r="113" spans="1:16" ht="25.5">
      <c r="A113" s="4" t="s">
        <v>316</v>
      </c>
      <c r="B113" t="str">
        <f>HYPERLINK("https://www.onsemi.com/PowerSolutions/product.do?id=NCP81611","NCP81611")</f>
        <v>NCP81611</v>
      </c>
      <c r="C113" t="str">
        <f>HYPERLINK("https://www.onsemi.com/pub/Collateral/NCP81611-D.PDF","NCP81611/D (389kB)")</f>
        <v>NCP81611/D (389kB)</v>
      </c>
      <c r="D113" t="s">
        <v>270</v>
      </c>
      <c r="E113" s="2" t="s">
        <v>24</v>
      </c>
      <c r="F113" t="s">
        <v>28</v>
      </c>
      <c r="G113" t="s">
        <v>23</v>
      </c>
      <c r="H113" t="s">
        <v>23</v>
      </c>
      <c r="I113" t="s">
        <v>23</v>
      </c>
      <c r="J113" t="s">
        <v>23</v>
      </c>
      <c r="K113" t="s">
        <v>23</v>
      </c>
      <c r="O113" t="s">
        <v>23</v>
      </c>
      <c r="P113" s="2" t="s">
        <v>200</v>
      </c>
    </row>
    <row r="114" spans="1:16" ht="51">
      <c r="A114" s="4" t="s">
        <v>316</v>
      </c>
      <c r="B114" t="str">
        <f>HYPERLINK("https://www.onsemi.com/PowerSolutions/product.do?id=NCV1034","NCV1034")</f>
        <v>NCV1034</v>
      </c>
      <c r="C114" t="str">
        <f>HYPERLINK("https://www.onsemi.com/pub/Collateral/NCV1034-D.PDF","NCV1034/D (253kB)")</f>
        <v>NCV1034/D (253kB)</v>
      </c>
      <c r="D114" t="s">
        <v>271</v>
      </c>
      <c r="E114" s="2" t="s">
        <v>35</v>
      </c>
      <c r="F114" t="s">
        <v>28</v>
      </c>
      <c r="G114" s="2" t="s">
        <v>29</v>
      </c>
      <c r="H114" s="2" t="s">
        <v>16</v>
      </c>
      <c r="I114" s="2" t="s">
        <v>135</v>
      </c>
      <c r="J114" s="2" t="s">
        <v>128</v>
      </c>
      <c r="K114" s="2" t="s">
        <v>96</v>
      </c>
      <c r="L114" s="2"/>
      <c r="M114" s="2"/>
      <c r="N114" s="2"/>
      <c r="O114" s="2" t="s">
        <v>137</v>
      </c>
      <c r="P114" s="2" t="s">
        <v>40</v>
      </c>
    </row>
    <row r="115" spans="1:16" ht="51">
      <c r="A115" s="4" t="s">
        <v>316</v>
      </c>
      <c r="B115" t="str">
        <f>HYPERLINK("https://www.onsemi.com/PowerSolutions/product.do?id=NCV30161","NCV30161")</f>
        <v>NCV30161</v>
      </c>
      <c r="C115" t="str">
        <f>HYPERLINK("https://www.onsemi.com/pub/Collateral/NCV30161-D.PDF","NCV30161/D (296kB)")</f>
        <v>NCV30161/D (296kB)</v>
      </c>
      <c r="D115" t="s">
        <v>132</v>
      </c>
      <c r="E115" s="2" t="s">
        <v>35</v>
      </c>
      <c r="F115" t="s">
        <v>28</v>
      </c>
      <c r="G115" s="2" t="s">
        <v>29</v>
      </c>
      <c r="H115" s="2" t="s">
        <v>16</v>
      </c>
      <c r="I115" s="2" t="s">
        <v>44</v>
      </c>
      <c r="J115" s="2" t="s">
        <v>272</v>
      </c>
      <c r="K115" s="2" t="s">
        <v>119</v>
      </c>
      <c r="L115" s="2"/>
      <c r="M115" s="2"/>
      <c r="N115" s="2"/>
      <c r="O115" t="s">
        <v>23</v>
      </c>
      <c r="P115" s="2" t="s">
        <v>273</v>
      </c>
    </row>
    <row r="116" spans="1:16" ht="51">
      <c r="A116" s="4" t="s">
        <v>316</v>
      </c>
      <c r="B116" t="str">
        <f>HYPERLINK("https://www.onsemi.com/PowerSolutions/product.do?id=NCV494","NCV494")</f>
        <v>NCV494</v>
      </c>
      <c r="C116" t="str">
        <f>HYPERLINK("https://www.onsemi.com/pub/Collateral/TL494-D.PDF","TL494/D (144.0kB)")</f>
        <v>TL494/D (144.0kB)</v>
      </c>
      <c r="D116" t="s">
        <v>274</v>
      </c>
      <c r="E116" s="2" t="s">
        <v>35</v>
      </c>
      <c r="F116" t="s">
        <v>28</v>
      </c>
      <c r="G116" s="2" t="s">
        <v>275</v>
      </c>
      <c r="H116" s="2" t="s">
        <v>16</v>
      </c>
      <c r="I116" s="2" t="s">
        <v>135</v>
      </c>
      <c r="J116" s="2" t="s">
        <v>179</v>
      </c>
      <c r="K116" s="2" t="s">
        <v>119</v>
      </c>
      <c r="L116" s="2"/>
      <c r="M116" s="2"/>
      <c r="N116" s="2"/>
      <c r="O116" s="2" t="s">
        <v>47</v>
      </c>
      <c r="P116" s="2" t="s">
        <v>40</v>
      </c>
    </row>
    <row r="117" spans="1:16" ht="51">
      <c r="A117" s="4" t="s">
        <v>316</v>
      </c>
      <c r="B117" t="str">
        <f>HYPERLINK("https://www.onsemi.com/PowerSolutions/product.do?id=NCV7693","NCV7693")</f>
        <v>NCV7693</v>
      </c>
      <c r="C117" t="str">
        <f>HYPERLINK("https://www.onsemi.com/pub/Collateral/NCV7693-D.PDF","NCV7693/D (147kB)")</f>
        <v>NCV7693/D (147kB)</v>
      </c>
      <c r="D117" t="s">
        <v>276</v>
      </c>
      <c r="E117" s="2" t="s">
        <v>35</v>
      </c>
      <c r="F117" t="s">
        <v>28</v>
      </c>
      <c r="G117" t="s">
        <v>23</v>
      </c>
      <c r="H117" t="s">
        <v>23</v>
      </c>
      <c r="I117" t="s">
        <v>23</v>
      </c>
      <c r="J117" t="s">
        <v>23</v>
      </c>
      <c r="K117" t="s">
        <v>23</v>
      </c>
      <c r="O117" t="s">
        <v>23</v>
      </c>
      <c r="P117" s="2" t="s">
        <v>277</v>
      </c>
    </row>
    <row r="118" spans="1:16" ht="51">
      <c r="A118" s="4" t="s">
        <v>316</v>
      </c>
      <c r="B118" t="str">
        <f>HYPERLINK("https://www.onsemi.com/PowerSolutions/product.do?id=NCV78702","NCV78702")</f>
        <v>NCV78702</v>
      </c>
      <c r="C118" t="str">
        <f>HYPERLINK("https://www.onsemi.com/pub/Collateral/NCV78702-D.PDF","NCV78702/D (556kB)")</f>
        <v>NCV78702/D (556kB)</v>
      </c>
      <c r="D118" t="s">
        <v>278</v>
      </c>
      <c r="E118" s="2" t="s">
        <v>35</v>
      </c>
      <c r="F118" t="s">
        <v>28</v>
      </c>
      <c r="G118" t="s">
        <v>23</v>
      </c>
      <c r="H118" t="s">
        <v>23</v>
      </c>
      <c r="I118" t="s">
        <v>23</v>
      </c>
      <c r="J118" t="s">
        <v>23</v>
      </c>
      <c r="K118" t="s">
        <v>23</v>
      </c>
      <c r="O118" t="s">
        <v>23</v>
      </c>
      <c r="P118" s="2" t="s">
        <v>279</v>
      </c>
    </row>
    <row r="119" spans="1:16" ht="51">
      <c r="A119" s="4" t="s">
        <v>316</v>
      </c>
      <c r="B119" t="str">
        <f>HYPERLINK("https://www.onsemi.com/PowerSolutions/product.do?id=NCV78703","NCV78703")</f>
        <v>NCV78703</v>
      </c>
      <c r="C119" t="str">
        <f>HYPERLINK("https://www.onsemi.com/pub/Collateral/NCV78703-D.PDF","NCV78703/D (422kB)")</f>
        <v>NCV78703/D (422kB)</v>
      </c>
      <c r="D119" t="s">
        <v>278</v>
      </c>
      <c r="E119" s="2" t="s">
        <v>35</v>
      </c>
      <c r="F119" t="s">
        <v>28</v>
      </c>
      <c r="G119" t="s">
        <v>23</v>
      </c>
      <c r="H119" t="s">
        <v>23</v>
      </c>
      <c r="I119" t="s">
        <v>23</v>
      </c>
      <c r="J119" t="s">
        <v>23</v>
      </c>
      <c r="K119" t="s">
        <v>23</v>
      </c>
      <c r="O119" t="s">
        <v>23</v>
      </c>
      <c r="P119" s="2" t="s">
        <v>172</v>
      </c>
    </row>
    <row r="120" spans="1:16" ht="51">
      <c r="A120" s="4" t="s">
        <v>316</v>
      </c>
      <c r="B120" t="str">
        <f>HYPERLINK("https://www.onsemi.com/PowerSolutions/product.do?id=NCV881930","NCV881930")</f>
        <v>NCV881930</v>
      </c>
      <c r="C120" t="str">
        <f>HYPERLINK("https://www.onsemi.com/pub/Collateral/NCV881930-D.PDF","NCV881930/D (488kB)")</f>
        <v>NCV881930/D (488kB)</v>
      </c>
      <c r="D120" t="s">
        <v>280</v>
      </c>
      <c r="E120" s="2" t="s">
        <v>35</v>
      </c>
      <c r="F120" t="s">
        <v>28</v>
      </c>
      <c r="G120" s="2" t="s">
        <v>29</v>
      </c>
      <c r="H120" s="2" t="s">
        <v>16</v>
      </c>
      <c r="I120" s="2" t="s">
        <v>169</v>
      </c>
      <c r="J120" s="2" t="s">
        <v>281</v>
      </c>
      <c r="K120" s="2" t="s">
        <v>282</v>
      </c>
      <c r="L120" s="2"/>
      <c r="M120" s="2"/>
      <c r="N120" s="2"/>
      <c r="O120" s="2" t="s">
        <v>283</v>
      </c>
      <c r="P120" s="2" t="s">
        <v>284</v>
      </c>
    </row>
    <row r="121" spans="1:16" ht="38.25">
      <c r="A121" s="4" t="s">
        <v>316</v>
      </c>
      <c r="B121" t="str">
        <f>HYPERLINK("https://www.onsemi.com/PowerSolutions/product.do?id=NCV8851-1","NCV8851-1")</f>
        <v>NCV8851-1</v>
      </c>
      <c r="C121" t="str">
        <f>HYPERLINK("https://www.onsemi.com/pub/Collateral/NCV8851-1-D.PDF","NCV8851-1/D (177kB)")</f>
        <v>NCV8851-1/D (177kB)</v>
      </c>
      <c r="D121" t="s">
        <v>285</v>
      </c>
      <c r="E121" s="2" t="s">
        <v>13</v>
      </c>
      <c r="F121" t="s">
        <v>28</v>
      </c>
      <c r="G121" s="2" t="s">
        <v>29</v>
      </c>
      <c r="H121" s="2" t="s">
        <v>16</v>
      </c>
      <c r="I121" s="2" t="s">
        <v>17</v>
      </c>
      <c r="J121" s="2" t="s">
        <v>45</v>
      </c>
      <c r="K121" s="2" t="s">
        <v>119</v>
      </c>
      <c r="L121" s="2"/>
      <c r="M121" s="2"/>
      <c r="N121" s="2"/>
      <c r="O121" s="2" t="s">
        <v>137</v>
      </c>
      <c r="P121" s="2" t="s">
        <v>142</v>
      </c>
    </row>
    <row r="122" spans="1:16" ht="51">
      <c r="A122" s="4" t="s">
        <v>316</v>
      </c>
      <c r="B122" t="str">
        <f>HYPERLINK("https://www.onsemi.com/PowerSolutions/product.do?id=NCV8852","NCV8852")</f>
        <v>NCV8852</v>
      </c>
      <c r="C122" t="str">
        <f>HYPERLINK("https://www.onsemi.com/pub/Collateral/NCV8852-D.PDF","NCV8852/D (100kB)")</f>
        <v>NCV8852/D (100kB)</v>
      </c>
      <c r="D122" t="s">
        <v>286</v>
      </c>
      <c r="E122" s="2" t="s">
        <v>35</v>
      </c>
      <c r="F122" t="s">
        <v>28</v>
      </c>
      <c r="G122" s="2" t="s">
        <v>29</v>
      </c>
      <c r="H122" s="2" t="s">
        <v>16</v>
      </c>
      <c r="I122" s="2" t="s">
        <v>17</v>
      </c>
      <c r="J122" s="2" t="s">
        <v>287</v>
      </c>
      <c r="K122" s="2" t="s">
        <v>19</v>
      </c>
      <c r="L122" s="2"/>
      <c r="M122" s="2"/>
      <c r="N122" s="2"/>
      <c r="O122" s="2" t="s">
        <v>288</v>
      </c>
      <c r="P122" s="2" t="s">
        <v>21</v>
      </c>
    </row>
    <row r="123" spans="1:16" ht="51">
      <c r="A123" s="4" t="s">
        <v>316</v>
      </c>
      <c r="B123" t="str">
        <f>HYPERLINK("https://www.onsemi.com/PowerSolutions/product.do?id=NCV8853","NCV8853")</f>
        <v>NCV8853</v>
      </c>
      <c r="C123" t="str">
        <f>HYPERLINK("https://www.onsemi.com/pub/Collateral/NCV8853-D.PDF","NCV8853/D (97kB)")</f>
        <v>NCV8853/D (97kB)</v>
      </c>
      <c r="D123" t="s">
        <v>289</v>
      </c>
      <c r="E123" s="2" t="s">
        <v>35</v>
      </c>
      <c r="F123" t="s">
        <v>28</v>
      </c>
      <c r="G123" s="2" t="s">
        <v>29</v>
      </c>
      <c r="H123" s="2" t="s">
        <v>16</v>
      </c>
      <c r="I123" s="2" t="s">
        <v>17</v>
      </c>
      <c r="J123" s="2" t="s">
        <v>287</v>
      </c>
      <c r="K123" s="2" t="s">
        <v>19</v>
      </c>
      <c r="L123" s="2"/>
      <c r="M123" s="2"/>
      <c r="N123" s="2"/>
      <c r="O123" s="2" t="s">
        <v>290</v>
      </c>
      <c r="P123" s="2" t="s">
        <v>21</v>
      </c>
    </row>
    <row r="124" spans="1:16" ht="38.25">
      <c r="A124" s="4" t="s">
        <v>316</v>
      </c>
      <c r="B124" t="str">
        <f>HYPERLINK("https://www.onsemi.com/PowerSolutions/product.do?id=NCV8870","NCV8870")</f>
        <v>NCV8870</v>
      </c>
      <c r="C124" t="str">
        <f>HYPERLINK("https://www.onsemi.com/pub/Collateral/NCV8870-D.PDF","NCV8870/D (282kB)")</f>
        <v>NCV8870/D (282kB)</v>
      </c>
      <c r="D124" t="s">
        <v>12</v>
      </c>
      <c r="E124" s="2" t="s">
        <v>13</v>
      </c>
      <c r="F124" t="s">
        <v>28</v>
      </c>
      <c r="G124" s="2" t="s">
        <v>291</v>
      </c>
      <c r="H124" s="2" t="s">
        <v>16</v>
      </c>
      <c r="I124" s="2" t="s">
        <v>17</v>
      </c>
      <c r="J124" s="2" t="s">
        <v>18</v>
      </c>
      <c r="K124" s="2" t="s">
        <v>292</v>
      </c>
      <c r="L124" s="2"/>
      <c r="M124" s="2"/>
      <c r="N124" s="2"/>
      <c r="O124" s="2" t="s">
        <v>293</v>
      </c>
      <c r="P124" s="2" t="s">
        <v>21</v>
      </c>
    </row>
    <row r="125" spans="1:16" ht="38.25">
      <c r="A125" s="4" t="s">
        <v>316</v>
      </c>
      <c r="B125" t="str">
        <f>HYPERLINK("https://www.onsemi.com/PowerSolutions/product.do?id=NCV8872","NCV8872")</f>
        <v>NCV8872</v>
      </c>
      <c r="C125" t="str">
        <f>HYPERLINK("https://www.onsemi.com/pub/Collateral/NCV887200-D.PDF","NCV887200/D (283kB)")</f>
        <v>NCV887200/D (283kB)</v>
      </c>
      <c r="D125" t="s">
        <v>294</v>
      </c>
      <c r="E125" s="2" t="s">
        <v>13</v>
      </c>
      <c r="F125" t="s">
        <v>28</v>
      </c>
      <c r="G125" s="2" t="s">
        <v>295</v>
      </c>
      <c r="H125" s="2" t="s">
        <v>16</v>
      </c>
      <c r="I125" s="2" t="s">
        <v>17</v>
      </c>
      <c r="J125" s="2" t="s">
        <v>296</v>
      </c>
      <c r="K125" s="2" t="s">
        <v>19</v>
      </c>
      <c r="L125" s="2"/>
      <c r="M125" s="2"/>
      <c r="N125" s="2"/>
      <c r="O125" s="2" t="s">
        <v>297</v>
      </c>
      <c r="P125" s="2" t="s">
        <v>21</v>
      </c>
    </row>
    <row r="126" spans="1:16" ht="89.25">
      <c r="A126" s="4" t="s">
        <v>316</v>
      </c>
      <c r="B126" t="str">
        <f>HYPERLINK("https://www.onsemi.com/PowerSolutions/product.do?id=NCV8873","NCV8873")</f>
        <v>NCV8873</v>
      </c>
      <c r="C126" t="str">
        <f>HYPERLINK("https://www.onsemi.com/pub/Collateral/NCV8873-D.PDF","NCV8873/D (217kB)")</f>
        <v>NCV8873/D (217kB)</v>
      </c>
      <c r="D126" t="s">
        <v>12</v>
      </c>
      <c r="E126" s="2" t="s">
        <v>35</v>
      </c>
      <c r="F126" t="s">
        <v>28</v>
      </c>
      <c r="G126" s="2" t="s">
        <v>298</v>
      </c>
      <c r="H126" s="2" t="s">
        <v>16</v>
      </c>
      <c r="I126" s="2" t="s">
        <v>17</v>
      </c>
      <c r="J126" s="2" t="s">
        <v>18</v>
      </c>
      <c r="K126" s="2" t="s">
        <v>292</v>
      </c>
      <c r="L126" s="2"/>
      <c r="M126" s="2"/>
      <c r="N126" s="2"/>
      <c r="O126" s="2" t="s">
        <v>299</v>
      </c>
      <c r="P126" s="2" t="s">
        <v>21</v>
      </c>
    </row>
    <row r="127" spans="1:16" ht="51">
      <c r="A127" s="4" t="s">
        <v>316</v>
      </c>
      <c r="B127" t="str">
        <f>HYPERLINK("https://www.onsemi.com/PowerSolutions/product.do?id=NCV8876","NCV8876")</f>
        <v>NCV8876</v>
      </c>
      <c r="C127" t="str">
        <f>HYPERLINK("https://www.onsemi.com/pub/Collateral/NCV8876-D.PDF","NCV8876/D (258kB)")</f>
        <v>NCV8876/D (258kB)</v>
      </c>
      <c r="D127" t="s">
        <v>300</v>
      </c>
      <c r="E127" s="2" t="s">
        <v>35</v>
      </c>
      <c r="F127" t="s">
        <v>28</v>
      </c>
      <c r="G127" s="2" t="s">
        <v>15</v>
      </c>
      <c r="H127" s="2" t="s">
        <v>16</v>
      </c>
      <c r="I127" s="2" t="s">
        <v>17</v>
      </c>
      <c r="J127" s="2" t="s">
        <v>301</v>
      </c>
      <c r="K127" s="2" t="s">
        <v>292</v>
      </c>
      <c r="L127" s="2"/>
      <c r="M127" s="2"/>
      <c r="N127" s="2"/>
      <c r="O127" s="2" t="s">
        <v>137</v>
      </c>
      <c r="P127" s="2" t="s">
        <v>21</v>
      </c>
    </row>
    <row r="128" spans="1:16" ht="51">
      <c r="A128" s="4" t="s">
        <v>316</v>
      </c>
      <c r="B128" t="str">
        <f>HYPERLINK("https://www.onsemi.com/PowerSolutions/product.do?id=NCV8877","NCV8877")</f>
        <v>NCV8877</v>
      </c>
      <c r="C128" t="str">
        <f>HYPERLINK("https://www.onsemi.com/pub/Collateral/NCV8877-D.PDF","NCV8877/D (253kB)")</f>
        <v>NCV8877/D (253kB)</v>
      </c>
      <c r="D128" t="s">
        <v>300</v>
      </c>
      <c r="E128" s="2" t="s">
        <v>35</v>
      </c>
      <c r="F128" t="s">
        <v>28</v>
      </c>
      <c r="G128" s="2" t="s">
        <v>15</v>
      </c>
      <c r="H128" s="2" t="s">
        <v>16</v>
      </c>
      <c r="I128" s="2" t="s">
        <v>17</v>
      </c>
      <c r="J128" s="2" t="s">
        <v>302</v>
      </c>
      <c r="K128" s="2" t="s">
        <v>292</v>
      </c>
      <c r="L128" s="2"/>
      <c r="M128" s="2"/>
      <c r="N128" s="2"/>
      <c r="O128" s="2" t="s">
        <v>137</v>
      </c>
      <c r="P128" s="2" t="s">
        <v>21</v>
      </c>
    </row>
    <row r="129" spans="1:16" ht="51">
      <c r="A129" s="4" t="s">
        <v>316</v>
      </c>
      <c r="B129" t="str">
        <f>HYPERLINK("https://www.onsemi.com/PowerSolutions/product.do?id=NCV8878","NCV8878")</f>
        <v>NCV8878</v>
      </c>
      <c r="C129" t="str">
        <f>HYPERLINK("https://www.onsemi.com/pub/Collateral/NCV8878-D.PDF","NCV8878/D (248kB)")</f>
        <v>NCV8878/D (248kB)</v>
      </c>
      <c r="D129" t="s">
        <v>300</v>
      </c>
      <c r="E129" s="2" t="s">
        <v>35</v>
      </c>
      <c r="F129" t="s">
        <v>28</v>
      </c>
      <c r="G129" s="2" t="s">
        <v>15</v>
      </c>
      <c r="H129" s="2" t="s">
        <v>16</v>
      </c>
      <c r="I129" s="2" t="s">
        <v>17</v>
      </c>
      <c r="J129" s="2" t="s">
        <v>301</v>
      </c>
      <c r="K129" s="2" t="s">
        <v>292</v>
      </c>
      <c r="L129" s="2"/>
      <c r="M129" s="2"/>
      <c r="N129" s="2"/>
      <c r="O129" s="2" t="s">
        <v>303</v>
      </c>
      <c r="P129" s="2" t="s">
        <v>21</v>
      </c>
    </row>
    <row r="130" spans="1:16" ht="51">
      <c r="A130" s="4" t="s">
        <v>316</v>
      </c>
      <c r="B130" t="str">
        <f>HYPERLINK("https://www.onsemi.com/PowerSolutions/product.do?id=NCV891930","NCV891930")</f>
        <v>NCV891930</v>
      </c>
      <c r="C130" t="str">
        <f>HYPERLINK("https://www.onsemi.com/pub/Collateral/NCV891930-D.PDF","NCV891930/D (454kB)")</f>
        <v>NCV891930/D (454kB)</v>
      </c>
      <c r="D130" t="s">
        <v>304</v>
      </c>
      <c r="E130" s="2" t="s">
        <v>35</v>
      </c>
      <c r="F130" t="s">
        <v>28</v>
      </c>
      <c r="G130" s="2" t="s">
        <v>29</v>
      </c>
      <c r="H130" s="2" t="s">
        <v>16</v>
      </c>
      <c r="I130" s="2" t="s">
        <v>169</v>
      </c>
      <c r="J130" s="2" t="s">
        <v>281</v>
      </c>
      <c r="K130" s="2" t="s">
        <v>282</v>
      </c>
      <c r="L130" s="2"/>
      <c r="M130" s="2"/>
      <c r="N130" s="2"/>
      <c r="O130" s="2" t="s">
        <v>305</v>
      </c>
      <c r="P130" s="2" t="s">
        <v>284</v>
      </c>
    </row>
    <row r="131" spans="1:16" ht="51">
      <c r="A131" s="4" t="s">
        <v>316</v>
      </c>
      <c r="B131" t="str">
        <f>HYPERLINK("https://www.onsemi.com/PowerSolutions/product.do?id=NCV898031","NCV898031")</f>
        <v>NCV898031</v>
      </c>
      <c r="C131" t="str">
        <f>HYPERLINK("https://www.onsemi.com/pub/Collateral/NCV898031-D.PDF","NCV898031/D (217kB)")</f>
        <v>NCV898031/D (217kB)</v>
      </c>
      <c r="D131" t="s">
        <v>306</v>
      </c>
      <c r="E131" s="2" t="s">
        <v>13</v>
      </c>
      <c r="F131" t="s">
        <v>28</v>
      </c>
      <c r="G131" s="2" t="s">
        <v>307</v>
      </c>
      <c r="H131" s="2" t="s">
        <v>16</v>
      </c>
      <c r="I131" s="2" t="s">
        <v>17</v>
      </c>
      <c r="J131" s="2" t="s">
        <v>18</v>
      </c>
      <c r="K131" s="2" t="s">
        <v>292</v>
      </c>
      <c r="L131" s="2"/>
      <c r="M131" s="2"/>
      <c r="N131" s="2"/>
      <c r="O131" s="2" t="s">
        <v>308</v>
      </c>
      <c r="P131" s="2" t="s">
        <v>21</v>
      </c>
    </row>
    <row r="132" spans="1:16" ht="51">
      <c r="A132" s="4" t="s">
        <v>316</v>
      </c>
      <c r="B132" t="str">
        <f>HYPERLINK("https://www.onsemi.com/PowerSolutions/product.do?id=NCV898032","NCV898032")</f>
        <v>NCV898032</v>
      </c>
      <c r="C132" t="str">
        <f>HYPERLINK("https://www.onsemi.com/pub/Collateral/NCV89803-D.PDF","NCV89803/D (232kB)")</f>
        <v>NCV89803/D (232kB)</v>
      </c>
      <c r="D132" t="s">
        <v>12</v>
      </c>
      <c r="E132" s="2" t="s">
        <v>35</v>
      </c>
      <c r="F132" t="s">
        <v>28</v>
      </c>
      <c r="G132" s="2" t="s">
        <v>295</v>
      </c>
      <c r="H132" s="2" t="s">
        <v>16</v>
      </c>
      <c r="I132" s="2" t="s">
        <v>17</v>
      </c>
      <c r="J132" s="2" t="s">
        <v>18</v>
      </c>
      <c r="K132" s="2" t="s">
        <v>292</v>
      </c>
      <c r="L132" s="2"/>
      <c r="M132" s="2"/>
      <c r="N132" s="2"/>
      <c r="O132" s="2" t="s">
        <v>305</v>
      </c>
      <c r="P132" s="2" t="s">
        <v>21</v>
      </c>
    </row>
    <row r="133" spans="1:16" ht="76.5">
      <c r="A133" s="4" t="s">
        <v>316</v>
      </c>
      <c r="B133" t="str">
        <f>HYPERLINK("https://www.onsemi.com/PowerSolutions/product.do?id=SG3525A","SG3525A")</f>
        <v>SG3525A</v>
      </c>
      <c r="C133" t="str">
        <f>HYPERLINK("https://www.onsemi.com/pub/Collateral/SG3525A-D.PDF","SG3525A/D (142.0kB)")</f>
        <v>SG3525A/D (142.0kB)</v>
      </c>
      <c r="D133" t="s">
        <v>309</v>
      </c>
      <c r="E133" s="2" t="s">
        <v>24</v>
      </c>
      <c r="F133" t="s">
        <v>28</v>
      </c>
      <c r="G133" s="2" t="s">
        <v>310</v>
      </c>
      <c r="H133" s="2" t="s">
        <v>16</v>
      </c>
      <c r="I133" s="2" t="s">
        <v>135</v>
      </c>
      <c r="J133" s="2" t="s">
        <v>128</v>
      </c>
      <c r="K133" s="2" t="s">
        <v>311</v>
      </c>
      <c r="L133" s="2"/>
      <c r="M133" s="2"/>
      <c r="N133" s="2"/>
      <c r="O133" s="2" t="s">
        <v>53</v>
      </c>
      <c r="P133" s="2" t="s">
        <v>312</v>
      </c>
    </row>
    <row r="134" spans="1:16" ht="76.5">
      <c r="A134" s="4" t="s">
        <v>316</v>
      </c>
      <c r="B134" t="str">
        <f>HYPERLINK("https://www.onsemi.com/PowerSolutions/product.do?id=TL494","TL494")</f>
        <v>TL494</v>
      </c>
      <c r="C134" t="str">
        <f>HYPERLINK("https://www.onsemi.com/pub/Collateral/TL494-D.PDF","TL494/D (144.0kB)")</f>
        <v>TL494/D (144.0kB)</v>
      </c>
      <c r="D134" t="s">
        <v>313</v>
      </c>
      <c r="E134" s="2" t="s">
        <v>70</v>
      </c>
      <c r="F134" t="s">
        <v>28</v>
      </c>
      <c r="G134" s="2" t="s">
        <v>310</v>
      </c>
      <c r="H134" s="2" t="s">
        <v>16</v>
      </c>
      <c r="I134" s="2" t="s">
        <v>135</v>
      </c>
      <c r="J134" s="2" t="s">
        <v>179</v>
      </c>
      <c r="K134" s="2" t="s">
        <v>119</v>
      </c>
      <c r="L134" s="2"/>
      <c r="M134" s="2"/>
      <c r="N134" s="2"/>
      <c r="O134" s="2" t="s">
        <v>190</v>
      </c>
      <c r="P134" s="2" t="s">
        <v>40</v>
      </c>
    </row>
    <row r="135" spans="1:16" ht="38.25">
      <c r="A135" s="4" t="s">
        <v>316</v>
      </c>
      <c r="B135" t="str">
        <f>HYPERLINK("https://www.onsemi.com/PowerSolutions/product.do?id=TL594","TL594")</f>
        <v>TL594</v>
      </c>
      <c r="C135" t="str">
        <f>HYPERLINK("https://www.onsemi.com/pub/Collateral/TL594-D.PDF","TL594/D (145.0kB)")</f>
        <v>TL594/D (145.0kB)</v>
      </c>
      <c r="D135" t="s">
        <v>309</v>
      </c>
      <c r="E135" s="2" t="s">
        <v>24</v>
      </c>
      <c r="F135" t="s">
        <v>28</v>
      </c>
      <c r="G135" s="2" t="s">
        <v>36</v>
      </c>
      <c r="H135" s="2" t="s">
        <v>16</v>
      </c>
      <c r="I135" s="2" t="s">
        <v>135</v>
      </c>
      <c r="J135" s="2" t="s">
        <v>272</v>
      </c>
      <c r="K135" s="2" t="s">
        <v>58</v>
      </c>
      <c r="L135" s="2"/>
      <c r="M135" s="2"/>
      <c r="N135" s="2"/>
      <c r="O135" s="2" t="s">
        <v>314</v>
      </c>
      <c r="P135" s="2" t="s">
        <v>42</v>
      </c>
    </row>
    <row r="136" spans="1:16" ht="25.5">
      <c r="A136" s="5" t="s">
        <v>621</v>
      </c>
      <c r="B136" t="str">
        <f>HYPERLINK("https://www.onsemi.com/PowerSolutions/product.do?id=FAN53880","FAN53880")</f>
        <v>FAN53880</v>
      </c>
      <c r="D136" t="s">
        <v>321</v>
      </c>
      <c r="E136" s="2" t="s">
        <v>24</v>
      </c>
      <c r="F136" t="s">
        <v>14</v>
      </c>
      <c r="G136" t="s">
        <v>23</v>
      </c>
      <c r="I136" t="s">
        <v>23</v>
      </c>
      <c r="J136" t="s">
        <v>23</v>
      </c>
      <c r="K136" t="s">
        <v>23</v>
      </c>
      <c r="L136" t="s">
        <v>23</v>
      </c>
      <c r="M136" t="s">
        <v>23</v>
      </c>
      <c r="N136" t="s">
        <v>23</v>
      </c>
      <c r="O136" t="s">
        <v>23</v>
      </c>
      <c r="P136" s="2" t="s">
        <v>322</v>
      </c>
    </row>
    <row r="137" spans="1:16" ht="25.5">
      <c r="A137" s="5" t="s">
        <v>320</v>
      </c>
      <c r="B137" t="str">
        <f>HYPERLINK("https://www.onsemi.com/PowerSolutions/product.do?id=NCP3284","NCP3284")</f>
        <v>NCP3284</v>
      </c>
      <c r="C137" t="str">
        <f>HYPERLINK("https://www.onsemi.com/pub/Collateral/NCP3284-D.PDF","NCP3284/D (301kB)")</f>
        <v>NCP3284/D (301kB)</v>
      </c>
      <c r="D137" t="s">
        <v>323</v>
      </c>
      <c r="E137" s="2" t="s">
        <v>24</v>
      </c>
      <c r="F137" t="s">
        <v>14</v>
      </c>
      <c r="G137" s="2" t="s">
        <v>29</v>
      </c>
      <c r="H137" s="2"/>
      <c r="I137" t="s">
        <v>23</v>
      </c>
      <c r="J137" s="2" t="s">
        <v>45</v>
      </c>
      <c r="K137" s="2" t="s">
        <v>63</v>
      </c>
      <c r="L137" s="2" t="s">
        <v>16</v>
      </c>
      <c r="M137" s="2" t="s">
        <v>324</v>
      </c>
      <c r="N137" s="2" t="s">
        <v>325</v>
      </c>
      <c r="O137" s="2" t="s">
        <v>230</v>
      </c>
      <c r="P137" s="2" t="s">
        <v>326</v>
      </c>
    </row>
    <row r="138" spans="1:16" ht="51">
      <c r="A138" s="5" t="s">
        <v>320</v>
      </c>
      <c r="B138" t="str">
        <f>HYPERLINK("https://www.onsemi.com/PowerSolutions/product.do?id=NCV97200","NCV97200")</f>
        <v>NCV97200</v>
      </c>
      <c r="C138" t="str">
        <f>HYPERLINK("https://www.onsemi.com/pub/Collateral/NCV97200-D.PDF","NCV97200/D (641kB)")</f>
        <v>NCV97200/D (641kB)</v>
      </c>
      <c r="D138" t="s">
        <v>327</v>
      </c>
      <c r="E138" s="2" t="s">
        <v>35</v>
      </c>
      <c r="F138" t="s">
        <v>14</v>
      </c>
      <c r="G138" s="2" t="s">
        <v>29</v>
      </c>
      <c r="H138" s="2"/>
      <c r="I138" s="2" t="s">
        <v>17</v>
      </c>
      <c r="J138" s="2" t="s">
        <v>328</v>
      </c>
      <c r="K138" s="2" t="s">
        <v>329</v>
      </c>
      <c r="L138" s="2" t="s">
        <v>330</v>
      </c>
      <c r="M138" s="2" t="s">
        <v>331</v>
      </c>
      <c r="N138" s="2" t="s">
        <v>332</v>
      </c>
      <c r="O138" s="2" t="s">
        <v>305</v>
      </c>
      <c r="P138" s="2" t="s">
        <v>333</v>
      </c>
    </row>
    <row r="139" spans="1:16" ht="51">
      <c r="A139" s="5" t="s">
        <v>320</v>
      </c>
      <c r="B139" t="str">
        <f>HYPERLINK("https://www.onsemi.com/PowerSolutions/product.do?id=NCV97311A","NCV97311A")</f>
        <v>NCV97311A</v>
      </c>
      <c r="C139" t="str">
        <f>HYPERLINK("https://www.onsemi.com/pub/Collateral/NCV97311A-D.PDF","NCV97311A/D (248kB)")</f>
        <v>NCV97311A/D (248kB)</v>
      </c>
      <c r="D139" t="s">
        <v>334</v>
      </c>
      <c r="E139" s="2" t="s">
        <v>35</v>
      </c>
      <c r="F139" t="s">
        <v>14</v>
      </c>
      <c r="G139" t="s">
        <v>23</v>
      </c>
      <c r="I139" t="s">
        <v>23</v>
      </c>
      <c r="J139" t="s">
        <v>23</v>
      </c>
      <c r="K139" t="s">
        <v>23</v>
      </c>
      <c r="L139" t="s">
        <v>23</v>
      </c>
      <c r="M139" t="s">
        <v>23</v>
      </c>
      <c r="N139" t="s">
        <v>23</v>
      </c>
      <c r="O139" t="s">
        <v>23</v>
      </c>
      <c r="P139" s="2" t="s">
        <v>335</v>
      </c>
    </row>
    <row r="140" spans="1:16" ht="63.75">
      <c r="A140" s="5" t="s">
        <v>682</v>
      </c>
      <c r="B140" t="str">
        <f>HYPERLINK("https://www.onsemi.com/PowerSolutions/product.do?id=NCV97400","NCV97400")</f>
        <v>NCV97400</v>
      </c>
      <c r="C140" t="str">
        <f>HYPERLINK("https://www.onsemi.com/pub/Collateral/NCV97400-D.PDF","NCV97400/D (722kB)")</f>
        <v>NCV97400/D (722kB)</v>
      </c>
      <c r="D140" t="s">
        <v>327</v>
      </c>
      <c r="E140" s="2" t="s">
        <v>336</v>
      </c>
      <c r="F140" t="s">
        <v>14</v>
      </c>
      <c r="G140" s="2" t="s">
        <v>29</v>
      </c>
      <c r="H140" s="2"/>
      <c r="I140" s="2" t="s">
        <v>17</v>
      </c>
      <c r="J140" s="2" t="s">
        <v>337</v>
      </c>
      <c r="K140" s="2" t="s">
        <v>338</v>
      </c>
      <c r="L140" s="2" t="s">
        <v>339</v>
      </c>
      <c r="M140" s="2" t="s">
        <v>340</v>
      </c>
      <c r="N140" s="2" t="s">
        <v>341</v>
      </c>
      <c r="O140" s="2" t="s">
        <v>342</v>
      </c>
      <c r="P140" s="2" t="s">
        <v>335</v>
      </c>
    </row>
    <row r="141" spans="1:16">
      <c r="A141" s="5" t="s">
        <v>320</v>
      </c>
      <c r="B141" t="str">
        <f>HYPERLINK("https://www.onsemi.com/PowerSolutions/product.do?id=FAN53527","FAN53527")</f>
        <v>FAN53527</v>
      </c>
      <c r="D141" t="s">
        <v>343</v>
      </c>
      <c r="E141" s="2" t="s">
        <v>70</v>
      </c>
      <c r="F141" t="s">
        <v>25</v>
      </c>
      <c r="G141" s="2" t="s">
        <v>29</v>
      </c>
      <c r="H141" s="2"/>
      <c r="I141" s="2" t="s">
        <v>135</v>
      </c>
      <c r="J141" s="2" t="s">
        <v>344</v>
      </c>
      <c r="K141" s="2" t="s">
        <v>223</v>
      </c>
      <c r="L141" s="2" t="s">
        <v>345</v>
      </c>
      <c r="M141" s="2" t="s">
        <v>346</v>
      </c>
      <c r="N141" s="2" t="s">
        <v>347</v>
      </c>
      <c r="O141" s="2" t="s">
        <v>348</v>
      </c>
      <c r="P141" s="2" t="s">
        <v>349</v>
      </c>
    </row>
    <row r="142" spans="1:16" ht="25.5">
      <c r="A142" s="5" t="s">
        <v>682</v>
      </c>
      <c r="B142" t="str">
        <f>HYPERLINK("https://www.onsemi.com/PowerSolutions/product.do?id=FAN65004C","FAN65004C")</f>
        <v>FAN65004C</v>
      </c>
      <c r="C142" t="str">
        <f>HYPERLINK("https://www.onsemi.com/pub/Collateral/FAN65004C-D.PDF","FAN65004C/D (1210kB)")</f>
        <v>FAN65004C/D (1210kB)</v>
      </c>
      <c r="D142" t="s">
        <v>350</v>
      </c>
      <c r="E142" s="2" t="s">
        <v>24</v>
      </c>
      <c r="F142" t="s">
        <v>25</v>
      </c>
      <c r="G142" s="2" t="s">
        <v>29</v>
      </c>
      <c r="H142" s="2"/>
      <c r="I142" s="2" t="s">
        <v>135</v>
      </c>
      <c r="J142" s="2" t="s">
        <v>45</v>
      </c>
      <c r="K142" s="2" t="s">
        <v>64</v>
      </c>
      <c r="L142" s="2" t="s">
        <v>345</v>
      </c>
      <c r="M142" s="2" t="s">
        <v>272</v>
      </c>
      <c r="N142" s="2" t="s">
        <v>351</v>
      </c>
      <c r="O142" s="2" t="s">
        <v>297</v>
      </c>
      <c r="P142" s="2" t="s">
        <v>352</v>
      </c>
    </row>
    <row r="143" spans="1:16" ht="51">
      <c r="A143" s="5" t="s">
        <v>320</v>
      </c>
      <c r="B143" t="str">
        <f>HYPERLINK("https://www.onsemi.com/PowerSolutions/product.do?id=CS51414","CS51414")</f>
        <v>CS51414</v>
      </c>
      <c r="C143" t="str">
        <f>HYPERLINK("https://www.onsemi.com/pub/Collateral/CS51411-D.PDF","CS51411/D (283.0kB)")</f>
        <v>CS51411/D (283.0kB)</v>
      </c>
      <c r="D143" t="s">
        <v>353</v>
      </c>
      <c r="E143" s="2" t="s">
        <v>35</v>
      </c>
      <c r="F143" t="s">
        <v>28</v>
      </c>
      <c r="G143" s="2" t="s">
        <v>29</v>
      </c>
      <c r="H143" s="2"/>
      <c r="I143" s="2" t="s">
        <v>354</v>
      </c>
      <c r="J143" s="2" t="s">
        <v>45</v>
      </c>
      <c r="K143" s="2" t="s">
        <v>119</v>
      </c>
      <c r="L143" s="2" t="s">
        <v>351</v>
      </c>
      <c r="M143" s="2" t="s">
        <v>355</v>
      </c>
      <c r="N143" s="2" t="s">
        <v>351</v>
      </c>
      <c r="O143" s="2" t="s">
        <v>356</v>
      </c>
      <c r="P143" s="2" t="s">
        <v>21</v>
      </c>
    </row>
    <row r="144" spans="1:16" ht="51">
      <c r="A144" s="5" t="s">
        <v>682</v>
      </c>
      <c r="B144" t="str">
        <f>HYPERLINK("https://www.onsemi.com/PowerSolutions/product.do?id=CS5171","CS5171")</f>
        <v>CS5171</v>
      </c>
      <c r="C144" t="str">
        <f>HYPERLINK("https://www.onsemi.com/pub/Collateral/CS5171-D.PDF","CS5171/D (277.0kB)")</f>
        <v>CS5171/D (277.0kB)</v>
      </c>
      <c r="D144" t="s">
        <v>357</v>
      </c>
      <c r="E144" s="2" t="s">
        <v>35</v>
      </c>
      <c r="F144" t="s">
        <v>28</v>
      </c>
      <c r="G144" s="2" t="s">
        <v>358</v>
      </c>
      <c r="H144" s="2"/>
      <c r="I144" s="2" t="s">
        <v>17</v>
      </c>
      <c r="J144" s="2" t="s">
        <v>359</v>
      </c>
      <c r="K144" s="2" t="s">
        <v>324</v>
      </c>
      <c r="L144" s="2" t="s">
        <v>360</v>
      </c>
      <c r="M144" s="2" t="s">
        <v>355</v>
      </c>
      <c r="N144" s="2" t="s">
        <v>361</v>
      </c>
      <c r="O144" s="2" t="s">
        <v>176</v>
      </c>
      <c r="P144" s="2" t="s">
        <v>21</v>
      </c>
    </row>
    <row r="145" spans="1:16" ht="51">
      <c r="A145" s="5" t="s">
        <v>682</v>
      </c>
      <c r="B145" t="str">
        <f>HYPERLINK("https://www.onsemi.com/PowerSolutions/product.do?id=CS5172","CS5172")</f>
        <v>CS5172</v>
      </c>
      <c r="C145" t="str">
        <f>HYPERLINK("https://www.onsemi.com/pub/Collateral/CS5171-D.PDF","CS5171/D (277.0kB)")</f>
        <v>CS5171/D (277.0kB)</v>
      </c>
      <c r="D145" t="s">
        <v>362</v>
      </c>
      <c r="E145" s="2" t="s">
        <v>35</v>
      </c>
      <c r="F145" t="s">
        <v>28</v>
      </c>
      <c r="G145" s="2" t="s">
        <v>15</v>
      </c>
      <c r="H145" s="2"/>
      <c r="I145" s="2" t="s">
        <v>17</v>
      </c>
      <c r="J145" s="2" t="s">
        <v>359</v>
      </c>
      <c r="K145" s="2" t="s">
        <v>324</v>
      </c>
      <c r="L145" t="s">
        <v>23</v>
      </c>
      <c r="M145" s="2" t="s">
        <v>355</v>
      </c>
      <c r="N145" t="s">
        <v>23</v>
      </c>
      <c r="O145" s="2" t="s">
        <v>137</v>
      </c>
      <c r="P145" s="2" t="s">
        <v>21</v>
      </c>
    </row>
    <row r="146" spans="1:16" ht="51">
      <c r="A146" s="5" t="s">
        <v>682</v>
      </c>
      <c r="B146" t="str">
        <f>HYPERLINK("https://www.onsemi.com/PowerSolutions/product.do?id=CS5173","CS5173")</f>
        <v>CS5173</v>
      </c>
      <c r="C146" t="str">
        <f>HYPERLINK("https://www.onsemi.com/pub/Collateral/CS5171-D.PDF","CS5171/D (277.0kB)")</f>
        <v>CS5171/D (277.0kB)</v>
      </c>
      <c r="D146" t="s">
        <v>363</v>
      </c>
      <c r="E146" s="2" t="s">
        <v>35</v>
      </c>
      <c r="F146" t="s">
        <v>28</v>
      </c>
      <c r="G146" s="2" t="s">
        <v>15</v>
      </c>
      <c r="H146" s="2"/>
      <c r="I146" s="2" t="s">
        <v>17</v>
      </c>
      <c r="J146" s="2" t="s">
        <v>359</v>
      </c>
      <c r="K146" s="2" t="s">
        <v>324</v>
      </c>
      <c r="L146" t="s">
        <v>23</v>
      </c>
      <c r="M146" s="2" t="s">
        <v>355</v>
      </c>
      <c r="N146" t="s">
        <v>23</v>
      </c>
      <c r="O146" s="2" t="s">
        <v>39</v>
      </c>
      <c r="P146" s="2" t="s">
        <v>21</v>
      </c>
    </row>
    <row r="147" spans="1:16" ht="25.5">
      <c r="A147" s="5" t="s">
        <v>682</v>
      </c>
      <c r="B147" t="str">
        <f>HYPERLINK("https://www.onsemi.com/PowerSolutions/product.do?id=FAN2001","FAN2001")</f>
        <v>FAN2001</v>
      </c>
      <c r="C147" t="str">
        <f>HYPERLINK("https://www.onsemi.com/pub/Collateral/FAN2002-D.pdf","FAN2002/D (447kB)")</f>
        <v>FAN2002/D (447kB)</v>
      </c>
      <c r="D147" t="s">
        <v>364</v>
      </c>
      <c r="E147" s="2" t="s">
        <v>24</v>
      </c>
      <c r="F147" t="s">
        <v>28</v>
      </c>
      <c r="G147" s="2" t="s">
        <v>29</v>
      </c>
      <c r="H147" s="2"/>
      <c r="I147" s="2" t="s">
        <v>17</v>
      </c>
      <c r="J147" s="2" t="s">
        <v>344</v>
      </c>
      <c r="K147" s="2" t="s">
        <v>223</v>
      </c>
      <c r="L147" s="2" t="s">
        <v>345</v>
      </c>
      <c r="M147" s="2" t="s">
        <v>16</v>
      </c>
      <c r="N147" s="2" t="s">
        <v>365</v>
      </c>
      <c r="O147" s="2" t="s">
        <v>366</v>
      </c>
      <c r="P147" s="2" t="s">
        <v>367</v>
      </c>
    </row>
    <row r="148" spans="1:16" ht="25.5">
      <c r="A148" s="5" t="s">
        <v>682</v>
      </c>
      <c r="B148" t="str">
        <f>HYPERLINK("https://www.onsemi.com/PowerSolutions/product.do?id=FAN2002","FAN2002")</f>
        <v>FAN2002</v>
      </c>
      <c r="C148" t="str">
        <f>HYPERLINK("https://www.onsemi.com/pub/Collateral/FAN2002-D.pdf","FAN2002/D (447kB)")</f>
        <v>FAN2002/D (447kB)</v>
      </c>
      <c r="D148" t="s">
        <v>364</v>
      </c>
      <c r="E148" s="2" t="s">
        <v>24</v>
      </c>
      <c r="F148" t="s">
        <v>28</v>
      </c>
      <c r="G148" s="2" t="s">
        <v>29</v>
      </c>
      <c r="H148" s="2"/>
      <c r="I148" s="2" t="s">
        <v>17</v>
      </c>
      <c r="J148" s="2" t="s">
        <v>344</v>
      </c>
      <c r="K148" s="2" t="s">
        <v>223</v>
      </c>
      <c r="L148" s="2" t="s">
        <v>345</v>
      </c>
      <c r="M148" s="2" t="s">
        <v>16</v>
      </c>
      <c r="N148" s="2" t="s">
        <v>365</v>
      </c>
      <c r="O148" s="2" t="s">
        <v>366</v>
      </c>
      <c r="P148" s="2" t="s">
        <v>367</v>
      </c>
    </row>
    <row r="149" spans="1:16" ht="25.5">
      <c r="A149" s="5" t="s">
        <v>682</v>
      </c>
      <c r="B149" t="str">
        <f>HYPERLINK("https://www.onsemi.com/PowerSolutions/product.do?id=FAN2306AMPX","FAN2306AMPX")</f>
        <v>FAN2306AMPX</v>
      </c>
      <c r="C149" t="str">
        <f>HYPERLINK("https://www.onsemi.com/pub/Collateral/FAN2306MAMPX-D.pdf","FAN2306MAMPX/D (2034kB)")</f>
        <v>FAN2306MAMPX/D (2034kB)</v>
      </c>
      <c r="D149" t="s">
        <v>368</v>
      </c>
      <c r="E149" s="2" t="s">
        <v>24</v>
      </c>
      <c r="F149" t="s">
        <v>28</v>
      </c>
      <c r="G149" s="2" t="s">
        <v>29</v>
      </c>
      <c r="H149" s="2"/>
      <c r="I149" s="2" t="s">
        <v>44</v>
      </c>
      <c r="J149" s="2" t="s">
        <v>45</v>
      </c>
      <c r="K149" s="2" t="s">
        <v>63</v>
      </c>
      <c r="L149" s="2" t="s">
        <v>345</v>
      </c>
      <c r="M149" s="2" t="s">
        <v>272</v>
      </c>
      <c r="N149" s="2" t="s">
        <v>369</v>
      </c>
      <c r="O149" s="2" t="s">
        <v>345</v>
      </c>
      <c r="P149" s="2" t="s">
        <v>370</v>
      </c>
    </row>
    <row r="150" spans="1:16" ht="25.5">
      <c r="A150" s="5" t="s">
        <v>682</v>
      </c>
      <c r="B150" t="str">
        <f>HYPERLINK("https://www.onsemi.com/PowerSolutions/product.do?id=FAN2306MAMPX","FAN2306MAMPX")</f>
        <v>FAN2306MAMPX</v>
      </c>
      <c r="C150" t="str">
        <f>HYPERLINK("https://www.onsemi.com/pub/Collateral/FAN2306MAMPX-D.pdf","FAN2306MAMPX/D (2034kB)")</f>
        <v>FAN2306MAMPX/D (2034kB)</v>
      </c>
      <c r="D150" t="s">
        <v>368</v>
      </c>
      <c r="E150" s="2" t="s">
        <v>24</v>
      </c>
      <c r="F150" t="s">
        <v>28</v>
      </c>
      <c r="G150" s="2" t="s">
        <v>29</v>
      </c>
      <c r="H150" s="2"/>
      <c r="I150" s="2" t="s">
        <v>44</v>
      </c>
      <c r="J150" s="2" t="s">
        <v>45</v>
      </c>
      <c r="K150" s="2" t="s">
        <v>63</v>
      </c>
      <c r="L150" s="2" t="s">
        <v>345</v>
      </c>
      <c r="M150" s="2" t="s">
        <v>272</v>
      </c>
      <c r="N150" s="2" t="s">
        <v>369</v>
      </c>
      <c r="O150" s="2" t="s">
        <v>345</v>
      </c>
      <c r="P150" s="2" t="s">
        <v>370</v>
      </c>
    </row>
    <row r="151" spans="1:16" ht="25.5">
      <c r="A151" s="5" t="s">
        <v>682</v>
      </c>
      <c r="B151" t="str">
        <f>HYPERLINK("https://www.onsemi.com/PowerSolutions/product.do?id=FAN2310AMPX","FAN2310AMPX")</f>
        <v>FAN2310AMPX</v>
      </c>
      <c r="C151" t="str">
        <f>HYPERLINK("https://www.onsemi.com/pub/Collateral/FAN2310AMPX-D.pdf","FAN2310AMPX/D (1810kB)")</f>
        <v>FAN2310AMPX/D (1810kB)</v>
      </c>
      <c r="D151" t="s">
        <v>371</v>
      </c>
      <c r="E151" s="2" t="s">
        <v>24</v>
      </c>
      <c r="F151" t="s">
        <v>28</v>
      </c>
      <c r="G151" s="2" t="s">
        <v>29</v>
      </c>
      <c r="H151" s="2"/>
      <c r="I151" s="2" t="s">
        <v>44</v>
      </c>
      <c r="J151" s="2" t="s">
        <v>45</v>
      </c>
      <c r="K151" s="2" t="s">
        <v>63</v>
      </c>
      <c r="L151" s="2" t="s">
        <v>345</v>
      </c>
      <c r="M151" s="2" t="s">
        <v>372</v>
      </c>
      <c r="N151" s="2" t="s">
        <v>369</v>
      </c>
      <c r="O151" s="2" t="s">
        <v>345</v>
      </c>
      <c r="P151" s="2" t="s">
        <v>370</v>
      </c>
    </row>
    <row r="152" spans="1:16" ht="25.5">
      <c r="A152" s="5" t="s">
        <v>682</v>
      </c>
      <c r="B152" t="str">
        <f>HYPERLINK("https://www.onsemi.com/PowerSolutions/product.do?id=FAN2315AMPX","FAN2315AMPX")</f>
        <v>FAN2315AMPX</v>
      </c>
      <c r="C152" t="str">
        <f>HYPERLINK("https://www.onsemi.com/pub/Collateral/FAN2315AMPX-D.pdf","FAN2315AMPX/D (1910kB)")</f>
        <v>FAN2315AMPX/D (1910kB)</v>
      </c>
      <c r="D152" t="s">
        <v>373</v>
      </c>
      <c r="E152" s="2" t="s">
        <v>24</v>
      </c>
      <c r="F152" t="s">
        <v>28</v>
      </c>
      <c r="G152" s="2" t="s">
        <v>29</v>
      </c>
      <c r="H152" s="2"/>
      <c r="I152" s="2" t="s">
        <v>44</v>
      </c>
      <c r="J152" s="2" t="s">
        <v>45</v>
      </c>
      <c r="K152" s="2" t="s">
        <v>63</v>
      </c>
      <c r="L152" s="2" t="s">
        <v>345</v>
      </c>
      <c r="M152" s="2" t="s">
        <v>56</v>
      </c>
      <c r="N152" s="2" t="s">
        <v>369</v>
      </c>
      <c r="O152" s="2" t="s">
        <v>345</v>
      </c>
      <c r="P152" s="2" t="s">
        <v>370</v>
      </c>
    </row>
    <row r="153" spans="1:16" ht="25.5">
      <c r="A153" s="5" t="s">
        <v>682</v>
      </c>
      <c r="B153" t="str">
        <f>HYPERLINK("https://www.onsemi.com/PowerSolutions/product.do?id=FAN2356AMPX","FAN2356AMPX")</f>
        <v>FAN2356AMPX</v>
      </c>
      <c r="C153" t="str">
        <f>HYPERLINK("https://www.onsemi.com/pub/Collateral/FAN2356AMPX-D.pdf","FAN2356AMPX/D (1537kB)")</f>
        <v>FAN2356AMPX/D (1537kB)</v>
      </c>
      <c r="D153" t="s">
        <v>368</v>
      </c>
      <c r="E153" s="2" t="s">
        <v>24</v>
      </c>
      <c r="F153" t="s">
        <v>28</v>
      </c>
      <c r="G153" s="2" t="s">
        <v>29</v>
      </c>
      <c r="H153" s="2"/>
      <c r="I153" s="2" t="s">
        <v>44</v>
      </c>
      <c r="J153" s="2" t="s">
        <v>45</v>
      </c>
      <c r="K153" s="2" t="s">
        <v>198</v>
      </c>
      <c r="L153" s="2" t="s">
        <v>345</v>
      </c>
      <c r="M153" s="2" t="s">
        <v>272</v>
      </c>
      <c r="N153" s="2" t="s">
        <v>369</v>
      </c>
      <c r="O153" s="2" t="s">
        <v>345</v>
      </c>
      <c r="P153" s="2" t="s">
        <v>370</v>
      </c>
    </row>
    <row r="154" spans="1:16" ht="25.5">
      <c r="A154" s="5" t="s">
        <v>682</v>
      </c>
      <c r="B154" t="str">
        <f>HYPERLINK("https://www.onsemi.com/PowerSolutions/product.do?id=FAN2360AMPX","FAN2360AMPX")</f>
        <v>FAN2360AMPX</v>
      </c>
      <c r="C154" t="str">
        <f>HYPERLINK("https://www.onsemi.com/pub/Collateral/FAN2360AMPX-D.pdf","FAN2360AMPX/D (1530kB)")</f>
        <v>FAN2360AMPX/D (1530kB)</v>
      </c>
      <c r="D154" t="s">
        <v>371</v>
      </c>
      <c r="E154" s="2" t="s">
        <v>24</v>
      </c>
      <c r="F154" t="s">
        <v>28</v>
      </c>
      <c r="G154" s="2" t="s">
        <v>29</v>
      </c>
      <c r="H154" s="2"/>
      <c r="I154" s="2" t="s">
        <v>44</v>
      </c>
      <c r="J154" s="2" t="s">
        <v>45</v>
      </c>
      <c r="K154" s="2" t="s">
        <v>198</v>
      </c>
      <c r="L154" s="2" t="s">
        <v>345</v>
      </c>
      <c r="M154" s="2" t="s">
        <v>372</v>
      </c>
      <c r="N154" s="2" t="s">
        <v>369</v>
      </c>
      <c r="O154" s="2" t="s">
        <v>345</v>
      </c>
      <c r="P154" s="2" t="s">
        <v>370</v>
      </c>
    </row>
    <row r="155" spans="1:16" ht="25.5">
      <c r="A155" s="5" t="s">
        <v>682</v>
      </c>
      <c r="B155" t="str">
        <f>HYPERLINK("https://www.onsemi.com/PowerSolutions/product.do?id=FAN2365AMPX","FAN2365AMPX")</f>
        <v>FAN2365AMPX</v>
      </c>
      <c r="C155" t="str">
        <f>HYPERLINK("https://www.onsemi.com/pub/Collateral/FAN2365AMPX-D.pdf","FAN2365AMPX/D (1549kB)")</f>
        <v>FAN2365AMPX/D (1549kB)</v>
      </c>
      <c r="D155" t="s">
        <v>371</v>
      </c>
      <c r="E155" s="2" t="s">
        <v>24</v>
      </c>
      <c r="F155" t="s">
        <v>28</v>
      </c>
      <c r="G155" s="2" t="s">
        <v>29</v>
      </c>
      <c r="H155" s="2"/>
      <c r="I155" s="2" t="s">
        <v>44</v>
      </c>
      <c r="J155" s="2" t="s">
        <v>45</v>
      </c>
      <c r="K155" s="2" t="s">
        <v>198</v>
      </c>
      <c r="L155" s="2" t="s">
        <v>345</v>
      </c>
      <c r="M155" s="2" t="s">
        <v>56</v>
      </c>
      <c r="N155" s="2" t="s">
        <v>369</v>
      </c>
      <c r="O155" s="2" t="s">
        <v>345</v>
      </c>
      <c r="P155" s="2" t="s">
        <v>370</v>
      </c>
    </row>
    <row r="156" spans="1:16" ht="25.5">
      <c r="A156" s="5" t="s">
        <v>682</v>
      </c>
      <c r="B156" t="str">
        <f>HYPERLINK("https://www.onsemi.com/PowerSolutions/product.do?id=FAN23SV04TAMPX","FAN23SV04TAMPX")</f>
        <v>FAN23SV04TAMPX</v>
      </c>
      <c r="C156" t="str">
        <f>HYPERLINK("https://www.onsemi.com/pub/Collateral/FAN23SV04TAMPX-D.pdf","FAN23SV04TAMPX/D (1625kB)")</f>
        <v>FAN23SV04TAMPX/D (1625kB)</v>
      </c>
      <c r="D156" t="s">
        <v>374</v>
      </c>
      <c r="E156" s="2" t="s">
        <v>24</v>
      </c>
      <c r="F156" t="s">
        <v>28</v>
      </c>
      <c r="G156" s="2" t="s">
        <v>29</v>
      </c>
      <c r="H156" s="2"/>
      <c r="I156" s="2" t="s">
        <v>44</v>
      </c>
      <c r="J156" s="2" t="s">
        <v>375</v>
      </c>
      <c r="K156" s="2" t="s">
        <v>63</v>
      </c>
      <c r="L156" s="2" t="s">
        <v>345</v>
      </c>
      <c r="M156" s="2" t="s">
        <v>376</v>
      </c>
      <c r="N156" s="2" t="s">
        <v>369</v>
      </c>
      <c r="O156" s="2" t="s">
        <v>345</v>
      </c>
      <c r="P156" s="2" t="s">
        <v>370</v>
      </c>
    </row>
    <row r="157" spans="1:16" ht="25.5">
      <c r="A157" s="5" t="s">
        <v>682</v>
      </c>
      <c r="B157" t="str">
        <f>HYPERLINK("https://www.onsemi.com/PowerSolutions/product.do?id=FAN23SV06AMPX","FAN23SV06AMPX")</f>
        <v>FAN23SV06AMPX</v>
      </c>
      <c r="C157" t="str">
        <f>HYPERLINK("https://www.onsemi.com/pub/Collateral/FAN23SV06PAMPX-D.pdf","FAN23SV06PAMPX/D (1932kB)")</f>
        <v>FAN23SV06PAMPX/D (1932kB)</v>
      </c>
      <c r="D157" t="s">
        <v>368</v>
      </c>
      <c r="E157" s="2" t="s">
        <v>24</v>
      </c>
      <c r="F157" t="s">
        <v>28</v>
      </c>
      <c r="G157" s="2" t="s">
        <v>29</v>
      </c>
      <c r="H157" s="2"/>
      <c r="I157" s="2" t="s">
        <v>44</v>
      </c>
      <c r="J157" s="2" t="s">
        <v>375</v>
      </c>
      <c r="K157" s="2" t="s">
        <v>63</v>
      </c>
      <c r="L157" s="2" t="s">
        <v>345</v>
      </c>
      <c r="M157" s="2" t="s">
        <v>272</v>
      </c>
      <c r="N157" s="2" t="s">
        <v>369</v>
      </c>
      <c r="O157" s="2" t="s">
        <v>345</v>
      </c>
      <c r="P157" s="2" t="s">
        <v>370</v>
      </c>
    </row>
    <row r="158" spans="1:16" ht="25.5">
      <c r="A158" s="5" t="s">
        <v>682</v>
      </c>
      <c r="B158" t="str">
        <f>HYPERLINK("https://www.onsemi.com/PowerSolutions/product.do?id=FAN23SV06PAMPX","FAN23SV06PAMPX")</f>
        <v>FAN23SV06PAMPX</v>
      </c>
      <c r="C158" t="str">
        <f>HYPERLINK("https://www.onsemi.com/pub/Collateral/FAN23SV06PAMPX-D.pdf","FAN23SV06PAMPX/D (1932kB)")</f>
        <v>FAN23SV06PAMPX/D (1932kB)</v>
      </c>
      <c r="D158" t="s">
        <v>368</v>
      </c>
      <c r="E158" s="2" t="s">
        <v>24</v>
      </c>
      <c r="F158" t="s">
        <v>28</v>
      </c>
      <c r="G158" s="2" t="s">
        <v>29</v>
      </c>
      <c r="H158" s="2"/>
      <c r="I158" s="2" t="s">
        <v>44</v>
      </c>
      <c r="J158" s="2" t="s">
        <v>179</v>
      </c>
      <c r="K158" s="2" t="s">
        <v>63</v>
      </c>
      <c r="L158" s="2" t="s">
        <v>345</v>
      </c>
      <c r="M158" s="2" t="s">
        <v>272</v>
      </c>
      <c r="N158" s="2" t="s">
        <v>369</v>
      </c>
      <c r="O158" s="2" t="s">
        <v>345</v>
      </c>
      <c r="P158" s="2" t="s">
        <v>370</v>
      </c>
    </row>
    <row r="159" spans="1:16" ht="25.5">
      <c r="A159" s="5" t="s">
        <v>682</v>
      </c>
      <c r="B159" t="str">
        <f>HYPERLINK("https://www.onsemi.com/PowerSolutions/product.do?id=FAN23SV10MAMPX","FAN23SV10MAMPX")</f>
        <v>FAN23SV10MAMPX</v>
      </c>
      <c r="C159" t="str">
        <f>HYPERLINK("https://www.onsemi.com/pub/Collateral/FAN23SV10MAMPX-D.pdf","FAN23SV10MAMPX/D (1797kB)")</f>
        <v>FAN23SV10MAMPX/D (1797kB)</v>
      </c>
      <c r="D159" t="s">
        <v>371</v>
      </c>
      <c r="E159" s="2" t="s">
        <v>24</v>
      </c>
      <c r="F159" t="s">
        <v>28</v>
      </c>
      <c r="G159" s="2" t="s">
        <v>29</v>
      </c>
      <c r="H159" s="2"/>
      <c r="I159" s="2" t="s">
        <v>44</v>
      </c>
      <c r="J159" s="2" t="s">
        <v>375</v>
      </c>
      <c r="K159" s="2" t="s">
        <v>63</v>
      </c>
      <c r="L159" s="2" t="s">
        <v>345</v>
      </c>
      <c r="M159" s="2" t="s">
        <v>372</v>
      </c>
      <c r="N159" s="2" t="s">
        <v>369</v>
      </c>
      <c r="O159" s="2" t="s">
        <v>345</v>
      </c>
      <c r="P159" s="2" t="s">
        <v>370</v>
      </c>
    </row>
    <row r="160" spans="1:16" ht="25.5">
      <c r="A160" s="5" t="s">
        <v>682</v>
      </c>
      <c r="B160" t="str">
        <f>HYPERLINK("https://www.onsemi.com/PowerSolutions/product.do?id=FAN23SV15MAMPX","FAN23SV15MAMPX")</f>
        <v>FAN23SV15MAMPX</v>
      </c>
      <c r="C160" t="str">
        <f>HYPERLINK("https://www.onsemi.com/pub/Collateral/FAN23SV15MAMPX-D.pdf","FAN23SV15MAMPX/D (1989kB)")</f>
        <v>FAN23SV15MAMPX/D (1989kB)</v>
      </c>
      <c r="D160" t="s">
        <v>373</v>
      </c>
      <c r="E160" s="2" t="s">
        <v>24</v>
      </c>
      <c r="F160" t="s">
        <v>28</v>
      </c>
      <c r="G160" s="2" t="s">
        <v>29</v>
      </c>
      <c r="H160" s="2"/>
      <c r="I160" s="2" t="s">
        <v>44</v>
      </c>
      <c r="J160" s="2" t="s">
        <v>375</v>
      </c>
      <c r="K160" s="2" t="s">
        <v>63</v>
      </c>
      <c r="L160" s="2" t="s">
        <v>345</v>
      </c>
      <c r="M160" s="2" t="s">
        <v>56</v>
      </c>
      <c r="N160" s="2" t="s">
        <v>369</v>
      </c>
      <c r="O160" s="2" t="s">
        <v>345</v>
      </c>
      <c r="P160" s="2" t="s">
        <v>370</v>
      </c>
    </row>
    <row r="161" spans="1:16" ht="25.5">
      <c r="A161" s="5" t="s">
        <v>682</v>
      </c>
      <c r="B161" t="str">
        <f>HYPERLINK("https://www.onsemi.com/PowerSolutions/product.do?id=FAN23SV20MAMPX","FAN23SV20MAMPX")</f>
        <v>FAN23SV20MAMPX</v>
      </c>
      <c r="C161" t="str">
        <f>HYPERLINK("https://www.onsemi.com/pub/Collateral/FAN23SV20MAMPX-D.pdf","FAN23SV20MAMPX/D (1917kB)")</f>
        <v>FAN23SV20MAMPX/D (1917kB)</v>
      </c>
      <c r="D161" t="s">
        <v>377</v>
      </c>
      <c r="E161" s="2" t="s">
        <v>24</v>
      </c>
      <c r="F161" t="s">
        <v>28</v>
      </c>
      <c r="G161" s="2" t="s">
        <v>29</v>
      </c>
      <c r="H161" s="2"/>
      <c r="I161" s="2" t="s">
        <v>375</v>
      </c>
      <c r="J161" s="2" t="s">
        <v>375</v>
      </c>
      <c r="K161" s="2" t="s">
        <v>63</v>
      </c>
      <c r="L161" s="2" t="s">
        <v>345</v>
      </c>
      <c r="M161" s="2" t="s">
        <v>38</v>
      </c>
      <c r="N161" s="2" t="s">
        <v>369</v>
      </c>
      <c r="O161" s="2" t="s">
        <v>345</v>
      </c>
      <c r="P161" s="2" t="s">
        <v>370</v>
      </c>
    </row>
    <row r="162" spans="1:16" ht="25.5">
      <c r="A162" s="5" t="s">
        <v>682</v>
      </c>
      <c r="B162" t="str">
        <f>HYPERLINK("https://www.onsemi.com/PowerSolutions/product.do?id=FAN23SV56AMPX","FAN23SV56AMPX")</f>
        <v>FAN23SV56AMPX</v>
      </c>
      <c r="C162" t="str">
        <f>HYPERLINK("https://www.onsemi.com/pub/Collateral/FAN23SV56AMPX-D.pdf","FAN23SV56AMPX/D (1933kB)")</f>
        <v>FAN23SV56AMPX/D (1933kB)</v>
      </c>
      <c r="D162" t="s">
        <v>368</v>
      </c>
      <c r="E162" s="2" t="s">
        <v>24</v>
      </c>
      <c r="F162" t="s">
        <v>28</v>
      </c>
      <c r="G162" s="2" t="s">
        <v>29</v>
      </c>
      <c r="H162" s="2"/>
      <c r="I162" s="2" t="s">
        <v>375</v>
      </c>
      <c r="J162" s="2" t="s">
        <v>375</v>
      </c>
      <c r="K162" s="2" t="s">
        <v>198</v>
      </c>
      <c r="L162" s="2" t="s">
        <v>345</v>
      </c>
      <c r="M162" s="2" t="s">
        <v>272</v>
      </c>
      <c r="N162" s="2" t="s">
        <v>369</v>
      </c>
      <c r="O162" s="2" t="s">
        <v>345</v>
      </c>
      <c r="P162" s="2" t="s">
        <v>370</v>
      </c>
    </row>
    <row r="163" spans="1:16" ht="25.5">
      <c r="A163" s="5" t="s">
        <v>682</v>
      </c>
      <c r="B163" t="str">
        <f>HYPERLINK("https://www.onsemi.com/PowerSolutions/product.do?id=FAN23SV60AMPX","FAN23SV60AMPX")</f>
        <v>FAN23SV60AMPX</v>
      </c>
      <c r="C163" t="str">
        <f>HYPERLINK("https://www.onsemi.com/pub/Collateral/FAN23SV60AMPX-D.pdf","FAN23SV60AMPX/D (1552kB)")</f>
        <v>FAN23SV60AMPX/D (1552kB)</v>
      </c>
      <c r="D163" t="s">
        <v>371</v>
      </c>
      <c r="E163" s="2" t="s">
        <v>24</v>
      </c>
      <c r="F163" t="s">
        <v>28</v>
      </c>
      <c r="G163" s="2" t="s">
        <v>29</v>
      </c>
      <c r="H163" s="2"/>
      <c r="I163" s="2" t="s">
        <v>375</v>
      </c>
      <c r="J163" s="2" t="s">
        <v>375</v>
      </c>
      <c r="K163" s="2" t="s">
        <v>198</v>
      </c>
      <c r="L163" s="2" t="s">
        <v>345</v>
      </c>
      <c r="M163" s="2" t="s">
        <v>372</v>
      </c>
      <c r="N163" s="2" t="s">
        <v>369</v>
      </c>
      <c r="O163" s="2" t="s">
        <v>345</v>
      </c>
      <c r="P163" s="2" t="s">
        <v>370</v>
      </c>
    </row>
    <row r="164" spans="1:16" ht="25.5">
      <c r="A164" s="5" t="s">
        <v>682</v>
      </c>
      <c r="B164" t="str">
        <f>HYPERLINK("https://www.onsemi.com/PowerSolutions/product.do?id=FAN23SV65AMPX","FAN23SV65AMPX")</f>
        <v>FAN23SV65AMPX</v>
      </c>
      <c r="C164" t="str">
        <f>HYPERLINK("https://www.onsemi.com/pub/Collateral/FAN23SV65AMPX-D.PDF","FAN23SV65AMPX/D (912kB)")</f>
        <v>FAN23SV65AMPX/D (912kB)</v>
      </c>
      <c r="D164" t="s">
        <v>378</v>
      </c>
      <c r="E164" s="2" t="s">
        <v>24</v>
      </c>
      <c r="F164" t="s">
        <v>28</v>
      </c>
      <c r="G164" s="2" t="s">
        <v>29</v>
      </c>
      <c r="H164" s="2"/>
      <c r="I164" s="2" t="s">
        <v>375</v>
      </c>
      <c r="J164" s="2" t="s">
        <v>375</v>
      </c>
      <c r="K164" s="2" t="s">
        <v>198</v>
      </c>
      <c r="L164" s="2" t="s">
        <v>345</v>
      </c>
      <c r="M164" s="2" t="s">
        <v>56</v>
      </c>
      <c r="N164" s="2" t="s">
        <v>369</v>
      </c>
      <c r="O164" s="2" t="s">
        <v>345</v>
      </c>
      <c r="P164" s="2" t="s">
        <v>370</v>
      </c>
    </row>
    <row r="165" spans="1:16" ht="25.5">
      <c r="A165" s="5" t="s">
        <v>682</v>
      </c>
      <c r="B165" t="str">
        <f>HYPERLINK("https://www.onsemi.com/PowerSolutions/product.do?id=FAN23SV70AMPX","FAN23SV70AMPX")</f>
        <v>FAN23SV70AMPX</v>
      </c>
      <c r="C165" t="str">
        <f>HYPERLINK("https://www.onsemi.com/pub/Collateral/FAN23SV70AMPX-D.pdf","FAN23SV70AMPX/D (2162kB)")</f>
        <v>FAN23SV70AMPX/D (2162kB)</v>
      </c>
      <c r="D165" t="s">
        <v>377</v>
      </c>
      <c r="E165" s="2" t="s">
        <v>24</v>
      </c>
      <c r="F165" t="s">
        <v>28</v>
      </c>
      <c r="G165" s="2" t="s">
        <v>29</v>
      </c>
      <c r="H165" s="2"/>
      <c r="I165" s="2" t="s">
        <v>44</v>
      </c>
      <c r="J165" s="2" t="s">
        <v>179</v>
      </c>
      <c r="K165" s="2" t="s">
        <v>198</v>
      </c>
      <c r="L165" s="2" t="s">
        <v>345</v>
      </c>
      <c r="M165" s="2" t="s">
        <v>38</v>
      </c>
      <c r="N165" s="2" t="s">
        <v>369</v>
      </c>
      <c r="O165" s="2" t="s">
        <v>345</v>
      </c>
      <c r="P165" s="2" t="s">
        <v>370</v>
      </c>
    </row>
    <row r="166" spans="1:16" ht="38.25">
      <c r="A166" s="5" t="s">
        <v>682</v>
      </c>
      <c r="B166" t="str">
        <f>HYPERLINK("https://www.onsemi.com/PowerSolutions/product.do?id=FAN4860","FAN4860")</f>
        <v>FAN4860</v>
      </c>
      <c r="C166" t="str">
        <f>HYPERLINK("https://www.onsemi.com/pub/Collateral/FAN4860-D.PDF","FAN4860/D (976kB)")</f>
        <v>FAN4860/D (976kB)</v>
      </c>
      <c r="D166" t="s">
        <v>379</v>
      </c>
      <c r="E166" s="2" t="s">
        <v>24</v>
      </c>
      <c r="F166" t="s">
        <v>28</v>
      </c>
      <c r="G166" s="2" t="s">
        <v>15</v>
      </c>
      <c r="H166" s="2"/>
      <c r="I166" s="2" t="s">
        <v>17</v>
      </c>
      <c r="J166" s="2" t="s">
        <v>380</v>
      </c>
      <c r="K166" s="2" t="s">
        <v>45</v>
      </c>
      <c r="L166" s="2" t="s">
        <v>381</v>
      </c>
      <c r="M166" s="2" t="s">
        <v>382</v>
      </c>
      <c r="N166" s="2" t="s">
        <v>383</v>
      </c>
      <c r="O166" s="2" t="s">
        <v>384</v>
      </c>
      <c r="P166" s="2" t="s">
        <v>385</v>
      </c>
    </row>
    <row r="167" spans="1:16" ht="38.25">
      <c r="A167" s="5" t="s">
        <v>682</v>
      </c>
      <c r="B167" t="str">
        <f>HYPERLINK("https://www.onsemi.com/PowerSolutions/product.do?id=FAN48610","FAN48610")</f>
        <v>FAN48610</v>
      </c>
      <c r="C167" t="str">
        <f>HYPERLINK("https://www.onsemi.com/pub/Collateral/FAN48610-D.pdf","FAN48610/D (770kB)")</f>
        <v>FAN48610/D (770kB)</v>
      </c>
      <c r="D167" t="s">
        <v>386</v>
      </c>
      <c r="E167" s="2" t="s">
        <v>24</v>
      </c>
      <c r="F167" t="s">
        <v>28</v>
      </c>
      <c r="G167" s="2" t="s">
        <v>15</v>
      </c>
      <c r="H167" s="2"/>
      <c r="I167" s="2" t="s">
        <v>135</v>
      </c>
      <c r="J167" s="2" t="s">
        <v>344</v>
      </c>
      <c r="K167" s="2" t="s">
        <v>296</v>
      </c>
      <c r="L167" s="2" t="s">
        <v>388</v>
      </c>
      <c r="M167" s="2" t="s">
        <v>16</v>
      </c>
      <c r="N167" s="2" t="s">
        <v>389</v>
      </c>
      <c r="O167" s="2" t="s">
        <v>390</v>
      </c>
      <c r="P167" s="2" t="s">
        <v>391</v>
      </c>
    </row>
    <row r="168" spans="1:16" ht="25.5">
      <c r="A168" s="5" t="s">
        <v>682</v>
      </c>
      <c r="B168" t="str">
        <f>HYPERLINK("https://www.onsemi.com/PowerSolutions/product.do?id=FAN48611","FAN48611")</f>
        <v>FAN48611</v>
      </c>
      <c r="C168" t="str">
        <f>HYPERLINK("https://www.onsemi.com/pub/Collateral/FAN48611-D.pdf","FAN48611/D (1248kB)")</f>
        <v>FAN48611/D (1248kB)</v>
      </c>
      <c r="D168" t="s">
        <v>392</v>
      </c>
      <c r="E168" s="2" t="s">
        <v>24</v>
      </c>
      <c r="F168" t="s">
        <v>28</v>
      </c>
      <c r="G168" s="2" t="s">
        <v>15</v>
      </c>
      <c r="H168" s="2"/>
      <c r="I168" s="2" t="s">
        <v>135</v>
      </c>
      <c r="J168" s="2" t="s">
        <v>359</v>
      </c>
      <c r="K168" s="2" t="s">
        <v>296</v>
      </c>
      <c r="L168" s="2" t="s">
        <v>227</v>
      </c>
      <c r="M168" s="2" t="s">
        <v>393</v>
      </c>
      <c r="N168" s="2" t="s">
        <v>383</v>
      </c>
      <c r="O168" s="2" t="s">
        <v>390</v>
      </c>
      <c r="P168" s="2" t="s">
        <v>391</v>
      </c>
    </row>
    <row r="169" spans="1:16" ht="25.5">
      <c r="A169" s="5" t="s">
        <v>682</v>
      </c>
      <c r="B169" t="str">
        <f>HYPERLINK("https://www.onsemi.com/PowerSolutions/product.do?id=FAN48614","FAN48614")</f>
        <v>FAN48614</v>
      </c>
      <c r="C169" t="str">
        <f>HYPERLINK("https://www.onsemi.com/pub/Collateral/FAN48614-D.pdf","FAN48614/D (522kB)")</f>
        <v>FAN48614/D (522kB)</v>
      </c>
      <c r="D169" t="s">
        <v>394</v>
      </c>
      <c r="E169" s="2" t="s">
        <v>24</v>
      </c>
      <c r="F169" t="s">
        <v>28</v>
      </c>
      <c r="G169" s="2" t="s">
        <v>15</v>
      </c>
      <c r="H169" s="2"/>
      <c r="I169" s="2" t="s">
        <v>135</v>
      </c>
      <c r="J169" s="2" t="s">
        <v>359</v>
      </c>
      <c r="K169" s="2" t="s">
        <v>45</v>
      </c>
      <c r="L169" s="2" t="s">
        <v>241</v>
      </c>
      <c r="M169" s="2" t="s">
        <v>387</v>
      </c>
      <c r="N169" s="2" t="s">
        <v>383</v>
      </c>
      <c r="O169" s="2" t="s">
        <v>384</v>
      </c>
      <c r="P169" s="2" t="s">
        <v>391</v>
      </c>
    </row>
    <row r="170" spans="1:16" ht="25.5">
      <c r="A170" s="5" t="s">
        <v>682</v>
      </c>
      <c r="B170" t="str">
        <f>HYPERLINK("https://www.onsemi.com/PowerSolutions/product.do?id=FAN48615","FAN48615")</f>
        <v>FAN48615</v>
      </c>
      <c r="C170" t="str">
        <f>HYPERLINK("https://www.onsemi.com/pub/Collateral/FAN48615-D.PDF","FAN48615/D (912kB)")</f>
        <v>FAN48615/D (912kB)</v>
      </c>
      <c r="D170" t="s">
        <v>394</v>
      </c>
      <c r="E170" s="2" t="s">
        <v>24</v>
      </c>
      <c r="F170" t="s">
        <v>28</v>
      </c>
      <c r="G170" s="2" t="s">
        <v>15</v>
      </c>
      <c r="H170" s="2"/>
      <c r="I170" s="2" t="s">
        <v>135</v>
      </c>
      <c r="J170" s="2" t="s">
        <v>359</v>
      </c>
      <c r="K170" s="2" t="s">
        <v>45</v>
      </c>
      <c r="L170" s="2" t="s">
        <v>395</v>
      </c>
      <c r="M170" s="2" t="s">
        <v>16</v>
      </c>
      <c r="N170" s="2" t="s">
        <v>396</v>
      </c>
      <c r="O170" s="2" t="s">
        <v>397</v>
      </c>
      <c r="P170" s="2" t="s">
        <v>391</v>
      </c>
    </row>
    <row r="171" spans="1:16" ht="25.5">
      <c r="A171" s="5" t="s">
        <v>682</v>
      </c>
      <c r="B171" t="str">
        <f>HYPERLINK("https://www.onsemi.com/PowerSolutions/product.do?id=FAN48617","FAN48617")</f>
        <v>FAN48617</v>
      </c>
      <c r="C171" t="str">
        <f>HYPERLINK("https://www.onsemi.com/pub/Collateral/FAN48617-D.pdf","FAN48617/D (1174kB)")</f>
        <v>FAN48617/D (1174kB)</v>
      </c>
      <c r="D171" t="s">
        <v>394</v>
      </c>
      <c r="E171" s="2" t="s">
        <v>24</v>
      </c>
      <c r="F171" t="s">
        <v>28</v>
      </c>
      <c r="G171" s="2" t="s">
        <v>15</v>
      </c>
      <c r="H171" s="2"/>
      <c r="I171" s="2" t="s">
        <v>135</v>
      </c>
      <c r="J171" s="2" t="s">
        <v>359</v>
      </c>
      <c r="K171" s="2" t="s">
        <v>45</v>
      </c>
      <c r="L171" s="2" t="s">
        <v>241</v>
      </c>
      <c r="M171" s="2" t="s">
        <v>16</v>
      </c>
      <c r="N171" s="2" t="s">
        <v>396</v>
      </c>
      <c r="O171" s="2" t="s">
        <v>397</v>
      </c>
      <c r="P171" s="2" t="s">
        <v>391</v>
      </c>
    </row>
    <row r="172" spans="1:16" ht="25.5">
      <c r="A172" s="5" t="s">
        <v>682</v>
      </c>
      <c r="B172" t="str">
        <f>HYPERLINK("https://www.onsemi.com/PowerSolutions/product.do?id=FAN48618","FAN48618")</f>
        <v>FAN48618</v>
      </c>
      <c r="C172" t="str">
        <f>HYPERLINK("https://www.onsemi.com/pub/Collateral/FAN48618-D.pdf","FAN48618/D (1037kB)")</f>
        <v>FAN48618/D (1037kB)</v>
      </c>
      <c r="D172" t="s">
        <v>392</v>
      </c>
      <c r="E172" s="2" t="s">
        <v>24</v>
      </c>
      <c r="F172" t="s">
        <v>28</v>
      </c>
      <c r="G172" s="2" t="s">
        <v>15</v>
      </c>
      <c r="H172" s="2"/>
      <c r="I172" s="2" t="s">
        <v>135</v>
      </c>
      <c r="J172" s="2" t="s">
        <v>359</v>
      </c>
      <c r="K172" s="2" t="s">
        <v>296</v>
      </c>
      <c r="L172" s="2" t="s">
        <v>227</v>
      </c>
      <c r="M172" s="2" t="s">
        <v>34</v>
      </c>
      <c r="N172" s="2" t="s">
        <v>351</v>
      </c>
      <c r="O172" s="2" t="s">
        <v>390</v>
      </c>
      <c r="P172" s="2" t="s">
        <v>391</v>
      </c>
    </row>
    <row r="173" spans="1:16" ht="25.5">
      <c r="A173" s="5" t="s">
        <v>682</v>
      </c>
      <c r="B173" t="str">
        <f>HYPERLINK("https://www.onsemi.com/PowerSolutions/product.do?id=FAN48619","FAN48619")</f>
        <v>FAN48619</v>
      </c>
      <c r="C173" t="str">
        <f>HYPERLINK("https://www.onsemi.com/pub/Collateral/FAN48619-D.pdf","FAN48619/D (1214kB)")</f>
        <v>FAN48619/D (1214kB)</v>
      </c>
      <c r="D173" t="s">
        <v>394</v>
      </c>
      <c r="E173" s="2" t="s">
        <v>24</v>
      </c>
      <c r="F173" t="s">
        <v>28</v>
      </c>
      <c r="G173" s="2" t="s">
        <v>15</v>
      </c>
      <c r="H173" s="2"/>
      <c r="I173" s="2" t="s">
        <v>135</v>
      </c>
      <c r="J173" s="2" t="s">
        <v>359</v>
      </c>
      <c r="K173" s="2" t="s">
        <v>45</v>
      </c>
      <c r="L173" s="2" t="s">
        <v>241</v>
      </c>
      <c r="M173" s="2" t="s">
        <v>16</v>
      </c>
      <c r="N173" s="2" t="s">
        <v>396</v>
      </c>
      <c r="O173" s="2" t="s">
        <v>397</v>
      </c>
      <c r="P173" s="2" t="s">
        <v>391</v>
      </c>
    </row>
    <row r="174" spans="1:16" ht="76.5">
      <c r="A174" s="5" t="s">
        <v>682</v>
      </c>
      <c r="B174" t="str">
        <f>HYPERLINK("https://www.onsemi.com/PowerSolutions/product.do?id=FAN48623","FAN48623")</f>
        <v>FAN48623</v>
      </c>
      <c r="C174" t="str">
        <f>HYPERLINK("https://www.onsemi.com/pub/Collateral/FAN48623-D.PDF","FAN48623/D (564kB)")</f>
        <v>FAN48623/D (564kB)</v>
      </c>
      <c r="D174" t="s">
        <v>398</v>
      </c>
      <c r="E174" s="2" t="s">
        <v>24</v>
      </c>
      <c r="F174" t="s">
        <v>28</v>
      </c>
      <c r="G174" s="2" t="s">
        <v>15</v>
      </c>
      <c r="H174" s="2"/>
      <c r="I174" s="2" t="s">
        <v>135</v>
      </c>
      <c r="J174" s="2" t="s">
        <v>344</v>
      </c>
      <c r="K174" s="2" t="s">
        <v>223</v>
      </c>
      <c r="L174" s="2" t="s">
        <v>399</v>
      </c>
      <c r="M174" s="2" t="s">
        <v>344</v>
      </c>
      <c r="N174" s="2" t="s">
        <v>396</v>
      </c>
      <c r="O174" s="2" t="s">
        <v>390</v>
      </c>
      <c r="P174" s="2" t="s">
        <v>400</v>
      </c>
    </row>
    <row r="175" spans="1:16" ht="89.25">
      <c r="A175" s="5" t="s">
        <v>682</v>
      </c>
      <c r="B175" t="str">
        <f>HYPERLINK("https://www.onsemi.com/PowerSolutions/product.do?id=FAN48630","FAN48630")</f>
        <v>FAN48630</v>
      </c>
      <c r="C175" t="str">
        <f>HYPERLINK("https://www.onsemi.com/pub/Collateral/FAN48630-D.PDF","FAN48630/D (859kB)")</f>
        <v>FAN48630/D (859kB)</v>
      </c>
      <c r="D175" t="s">
        <v>401</v>
      </c>
      <c r="E175" s="2" t="s">
        <v>24</v>
      </c>
      <c r="F175" t="s">
        <v>28</v>
      </c>
      <c r="G175" s="2" t="s">
        <v>15</v>
      </c>
      <c r="H175" s="2"/>
      <c r="I175" s="2" t="s">
        <v>135</v>
      </c>
      <c r="J175" s="2" t="s">
        <v>402</v>
      </c>
      <c r="K175" s="2" t="s">
        <v>223</v>
      </c>
      <c r="L175" s="2" t="s">
        <v>403</v>
      </c>
      <c r="M175" s="2" t="s">
        <v>355</v>
      </c>
      <c r="N175" s="2" t="s">
        <v>325</v>
      </c>
      <c r="O175" s="2" t="s">
        <v>390</v>
      </c>
      <c r="P175" s="2" t="s">
        <v>400</v>
      </c>
    </row>
    <row r="176" spans="1:16" ht="25.5">
      <c r="A176" s="5" t="s">
        <v>682</v>
      </c>
      <c r="B176" t="str">
        <f>HYPERLINK("https://www.onsemi.com/PowerSolutions/product.do?id=FAN48630J","FAN48630J")</f>
        <v>FAN48630J</v>
      </c>
      <c r="C176" t="str">
        <f>HYPERLINK("https://www.onsemi.com/pub/Collateral/FAN48630J-D.PDF","FAN48630J/D (2656kB)")</f>
        <v>FAN48630J/D (2656kB)</v>
      </c>
      <c r="D176" t="s">
        <v>404</v>
      </c>
      <c r="E176" s="2" t="s">
        <v>24</v>
      </c>
      <c r="F176" t="s">
        <v>28</v>
      </c>
      <c r="G176" s="2" t="s">
        <v>29</v>
      </c>
      <c r="H176" s="2"/>
      <c r="I176" s="2" t="s">
        <v>135</v>
      </c>
      <c r="J176" s="2" t="s">
        <v>380</v>
      </c>
      <c r="K176" s="2" t="s">
        <v>223</v>
      </c>
      <c r="L176" s="2" t="s">
        <v>405</v>
      </c>
      <c r="M176" s="2" t="s">
        <v>355</v>
      </c>
      <c r="N176" s="2" t="s">
        <v>325</v>
      </c>
      <c r="O176" s="2" t="s">
        <v>390</v>
      </c>
      <c r="P176" s="2" t="s">
        <v>400</v>
      </c>
    </row>
    <row r="177" spans="1:16" ht="25.5">
      <c r="A177" s="5" t="s">
        <v>682</v>
      </c>
      <c r="B177" t="str">
        <f>HYPERLINK("https://www.onsemi.com/PowerSolutions/product.do?id=FAN48632","FAN48632")</f>
        <v>FAN48632</v>
      </c>
      <c r="C177" t="str">
        <f>HYPERLINK("https://www.onsemi.com/pub/Collateral/FAN48632-D.pdf","FAN48632/D (1469kB)")</f>
        <v>FAN48632/D (1469kB)</v>
      </c>
      <c r="D177" t="s">
        <v>406</v>
      </c>
      <c r="E177" s="2" t="s">
        <v>24</v>
      </c>
      <c r="F177" t="s">
        <v>28</v>
      </c>
      <c r="G177" s="2" t="s">
        <v>15</v>
      </c>
      <c r="H177" s="2"/>
      <c r="I177" s="2" t="s">
        <v>135</v>
      </c>
      <c r="J177" s="2" t="s">
        <v>402</v>
      </c>
      <c r="K177" s="2" t="s">
        <v>223</v>
      </c>
      <c r="L177" s="2" t="s">
        <v>407</v>
      </c>
      <c r="M177" s="2" t="s">
        <v>355</v>
      </c>
      <c r="N177" s="2" t="s">
        <v>325</v>
      </c>
      <c r="O177" s="2" t="s">
        <v>390</v>
      </c>
      <c r="P177" s="2" t="s">
        <v>400</v>
      </c>
    </row>
    <row r="178" spans="1:16" ht="25.5">
      <c r="A178" s="5" t="s">
        <v>682</v>
      </c>
      <c r="B178" t="str">
        <f>HYPERLINK("https://www.onsemi.com/PowerSolutions/product.do?id=FAN48685","FAN48685")</f>
        <v>FAN48685</v>
      </c>
      <c r="C178" t="str">
        <f>HYPERLINK("https://www.onsemi.com/pub/Collateral/FAN48685-D.PDF","FAN48685/D (465kB)")</f>
        <v>FAN48685/D (465kB)</v>
      </c>
      <c r="D178" t="s">
        <v>408</v>
      </c>
      <c r="E178" s="2" t="s">
        <v>24</v>
      </c>
      <c r="F178" t="s">
        <v>28</v>
      </c>
      <c r="G178" s="2" t="s">
        <v>15</v>
      </c>
      <c r="H178" s="2"/>
      <c r="I178" s="2" t="s">
        <v>135</v>
      </c>
      <c r="J178" s="2" t="s">
        <v>344</v>
      </c>
      <c r="K178" s="2" t="s">
        <v>223</v>
      </c>
      <c r="L178" s="2" t="s">
        <v>345</v>
      </c>
      <c r="M178" s="2" t="s">
        <v>157</v>
      </c>
      <c r="N178" s="2" t="s">
        <v>409</v>
      </c>
      <c r="O178" s="2" t="s">
        <v>390</v>
      </c>
      <c r="P178" s="2" t="s">
        <v>391</v>
      </c>
    </row>
    <row r="179" spans="1:16" ht="25.5">
      <c r="A179" s="5" t="s">
        <v>682</v>
      </c>
      <c r="B179" t="str">
        <f>HYPERLINK("https://www.onsemi.com/PowerSolutions/product.do?id=FAN4868UC33X","FAN4868UC33X")</f>
        <v>FAN4868UC33X</v>
      </c>
      <c r="C179" t="str">
        <f>HYPERLINK("https://www.onsemi.com/pub/Collateral/FAN4868-D.PDF","FAN4868/D (304kB)")</f>
        <v>FAN4868/D (304kB)</v>
      </c>
      <c r="D179" t="s">
        <v>410</v>
      </c>
      <c r="E179" s="2" t="s">
        <v>24</v>
      </c>
      <c r="F179" t="s">
        <v>28</v>
      </c>
      <c r="G179" t="s">
        <v>23</v>
      </c>
      <c r="I179" t="s">
        <v>23</v>
      </c>
      <c r="J179" t="s">
        <v>23</v>
      </c>
      <c r="K179" t="s">
        <v>23</v>
      </c>
      <c r="L179" t="s">
        <v>23</v>
      </c>
      <c r="M179" t="s">
        <v>23</v>
      </c>
      <c r="N179" t="s">
        <v>23</v>
      </c>
      <c r="O179" t="s">
        <v>23</v>
      </c>
      <c r="P179" s="2" t="s">
        <v>411</v>
      </c>
    </row>
    <row r="180" spans="1:16" ht="25.5">
      <c r="A180" s="5" t="s">
        <v>682</v>
      </c>
      <c r="B180" t="str">
        <f>HYPERLINK("https://www.onsemi.com/PowerSolutions/product.do?id=FAN49100","FAN49100")</f>
        <v>FAN49100</v>
      </c>
      <c r="C180" t="str">
        <f>HYPERLINK("https://www.onsemi.com/pub/Collateral/FAN49100-D.pdf","FAN49100/D (2277kB)")</f>
        <v>FAN49100/D (2277kB)</v>
      </c>
      <c r="D180" t="s">
        <v>412</v>
      </c>
      <c r="E180" s="2" t="s">
        <v>24</v>
      </c>
      <c r="F180" t="s">
        <v>28</v>
      </c>
      <c r="G180" s="2" t="s">
        <v>413</v>
      </c>
      <c r="H180" s="2"/>
      <c r="I180" s="2" t="s">
        <v>135</v>
      </c>
      <c r="J180" s="2" t="s">
        <v>344</v>
      </c>
      <c r="K180" s="2" t="s">
        <v>223</v>
      </c>
      <c r="L180" s="2" t="s">
        <v>414</v>
      </c>
      <c r="M180" s="2" t="s">
        <v>344</v>
      </c>
      <c r="N180" s="2" t="s">
        <v>325</v>
      </c>
      <c r="O180" s="2" t="s">
        <v>415</v>
      </c>
      <c r="P180" s="2" t="s">
        <v>416</v>
      </c>
    </row>
    <row r="181" spans="1:16" ht="25.5">
      <c r="A181" s="5" t="s">
        <v>682</v>
      </c>
      <c r="B181" t="str">
        <f>HYPERLINK("https://www.onsemi.com/PowerSolutions/product.do?id=FAN49101","FAN49101")</f>
        <v>FAN49101</v>
      </c>
      <c r="C181" t="str">
        <f>HYPERLINK("https://www.onsemi.com/pub/Collateral/FAN49101-D.pdf","FAN49101/D (479kB)")</f>
        <v>FAN49101/D (479kB)</v>
      </c>
      <c r="D181" t="s">
        <v>417</v>
      </c>
      <c r="E181" s="2" t="s">
        <v>24</v>
      </c>
      <c r="F181" t="s">
        <v>28</v>
      </c>
      <c r="G181" s="2" t="s">
        <v>413</v>
      </c>
      <c r="H181" s="2"/>
      <c r="I181" s="2" t="s">
        <v>135</v>
      </c>
      <c r="J181" s="2" t="s">
        <v>344</v>
      </c>
      <c r="K181" s="2" t="s">
        <v>223</v>
      </c>
      <c r="L181" s="2" t="s">
        <v>418</v>
      </c>
      <c r="M181" s="2" t="s">
        <v>252</v>
      </c>
      <c r="N181" s="2" t="s">
        <v>325</v>
      </c>
      <c r="O181" s="2" t="s">
        <v>415</v>
      </c>
      <c r="P181" s="2" t="s">
        <v>416</v>
      </c>
    </row>
    <row r="182" spans="1:16" ht="25.5">
      <c r="A182" s="5" t="s">
        <v>682</v>
      </c>
      <c r="B182" t="str">
        <f>HYPERLINK("https://www.onsemi.com/PowerSolutions/product.do?id=FAN49103","FAN49103")</f>
        <v>FAN49103</v>
      </c>
      <c r="C182" t="str">
        <f>HYPERLINK("https://www.onsemi.com/pub/Collateral/FAN49103-D.PDF","FAN49103/D (1241kB)")</f>
        <v>FAN49103/D (1241kB)</v>
      </c>
      <c r="D182" t="s">
        <v>419</v>
      </c>
      <c r="E182" s="2" t="s">
        <v>24</v>
      </c>
      <c r="F182" t="s">
        <v>28</v>
      </c>
      <c r="G182" s="2" t="s">
        <v>420</v>
      </c>
      <c r="H182" s="2"/>
      <c r="I182" s="2" t="s">
        <v>17</v>
      </c>
      <c r="J182" s="2" t="s">
        <v>344</v>
      </c>
      <c r="K182" s="2" t="s">
        <v>223</v>
      </c>
      <c r="L182" s="2" t="s">
        <v>421</v>
      </c>
      <c r="M182" s="2" t="s">
        <v>344</v>
      </c>
      <c r="N182" s="2" t="s">
        <v>325</v>
      </c>
      <c r="O182" s="2" t="s">
        <v>415</v>
      </c>
      <c r="P182" s="2" t="s">
        <v>416</v>
      </c>
    </row>
    <row r="183" spans="1:16" ht="25.5">
      <c r="A183" s="5" t="s">
        <v>682</v>
      </c>
      <c r="B183" t="str">
        <f>HYPERLINK("https://www.onsemi.com/PowerSolutions/product.do?id=FAN53200","FAN53200")</f>
        <v>FAN53200</v>
      </c>
      <c r="C183" t="str">
        <f>HYPERLINK("https://www.onsemi.com/pub/Collateral/FAN53200-D.PDF","FAN53200/D (779kB)")</f>
        <v>FAN53200/D (779kB)</v>
      </c>
      <c r="D183" t="s">
        <v>422</v>
      </c>
      <c r="E183" s="2" t="s">
        <v>24</v>
      </c>
      <c r="F183" t="s">
        <v>28</v>
      </c>
      <c r="G183" s="2" t="s">
        <v>29</v>
      </c>
      <c r="H183" s="2"/>
      <c r="I183" s="2" t="s">
        <v>351</v>
      </c>
      <c r="J183" s="2" t="s">
        <v>344</v>
      </c>
      <c r="K183" s="2" t="s">
        <v>223</v>
      </c>
      <c r="L183" s="2" t="s">
        <v>345</v>
      </c>
      <c r="M183" s="2" t="s">
        <v>241</v>
      </c>
      <c r="N183" s="2" t="s">
        <v>423</v>
      </c>
      <c r="O183" s="2" t="s">
        <v>348</v>
      </c>
      <c r="P183" s="2" t="s">
        <v>416</v>
      </c>
    </row>
    <row r="184" spans="1:16" ht="25.5">
      <c r="A184" s="5" t="s">
        <v>682</v>
      </c>
      <c r="B184" t="str">
        <f>HYPERLINK("https://www.onsemi.com/PowerSolutions/product.do?id=FAN5331","FAN5331")</f>
        <v>FAN5331</v>
      </c>
      <c r="C184" t="str">
        <f>HYPERLINK("https://www.onsemi.com/pub/Collateral/FAN5331-D.pdf","FAN5331/D (751kB)")</f>
        <v>FAN5331/D (751kB)</v>
      </c>
      <c r="D184" t="s">
        <v>424</v>
      </c>
      <c r="E184" s="2" t="s">
        <v>24</v>
      </c>
      <c r="F184" t="s">
        <v>28</v>
      </c>
      <c r="G184" s="2" t="s">
        <v>15</v>
      </c>
      <c r="H184" s="2"/>
      <c r="I184" s="2" t="s">
        <v>351</v>
      </c>
      <c r="J184" s="2" t="s">
        <v>359</v>
      </c>
      <c r="K184" s="2" t="s">
        <v>223</v>
      </c>
      <c r="L184" s="2" t="s">
        <v>345</v>
      </c>
      <c r="M184" s="2" t="s">
        <v>16</v>
      </c>
      <c r="N184" s="2" t="s">
        <v>409</v>
      </c>
      <c r="O184" s="2" t="s">
        <v>425</v>
      </c>
      <c r="P184" s="2" t="s">
        <v>426</v>
      </c>
    </row>
    <row r="185" spans="1:16" ht="25.5">
      <c r="A185" s="5" t="s">
        <v>682</v>
      </c>
      <c r="B185" t="str">
        <f>HYPERLINK("https://www.onsemi.com/PowerSolutions/product.do?id=FAN5333A","FAN5333A")</f>
        <v>FAN5333A</v>
      </c>
      <c r="C185" t="str">
        <f>HYPERLINK("https://www.onsemi.com/pub/Collateral/FAN5333B-D.pdf","FAN5333B/D (656kB)")</f>
        <v>FAN5333B/D (656kB)</v>
      </c>
      <c r="D185" t="s">
        <v>427</v>
      </c>
      <c r="E185" s="2" t="s">
        <v>24</v>
      </c>
      <c r="F185" t="s">
        <v>28</v>
      </c>
      <c r="G185" s="2" t="s">
        <v>15</v>
      </c>
      <c r="H185" s="2"/>
      <c r="I185" s="2" t="s">
        <v>351</v>
      </c>
      <c r="J185" s="2" t="s">
        <v>428</v>
      </c>
      <c r="K185" s="2" t="s">
        <v>223</v>
      </c>
      <c r="L185" s="2" t="s">
        <v>345</v>
      </c>
      <c r="M185" s="2" t="s">
        <v>355</v>
      </c>
      <c r="N185" s="2" t="s">
        <v>409</v>
      </c>
      <c r="O185" s="2" t="s">
        <v>199</v>
      </c>
      <c r="P185" s="2" t="s">
        <v>426</v>
      </c>
    </row>
    <row r="186" spans="1:16" ht="25.5">
      <c r="A186" s="5" t="s">
        <v>682</v>
      </c>
      <c r="B186" t="str">
        <f>HYPERLINK("https://www.onsemi.com/PowerSolutions/product.do?id=FAN5333B","FAN5333B")</f>
        <v>FAN5333B</v>
      </c>
      <c r="C186" t="str">
        <f>HYPERLINK("https://www.onsemi.com/pub/Collateral/FAN5333B-D.pdf","FAN5333B/D (656kB)")</f>
        <v>FAN5333B/D (656kB)</v>
      </c>
      <c r="D186" t="s">
        <v>427</v>
      </c>
      <c r="E186" s="2" t="s">
        <v>24</v>
      </c>
      <c r="F186" t="s">
        <v>28</v>
      </c>
      <c r="G186" s="2" t="s">
        <v>15</v>
      </c>
      <c r="H186" s="2"/>
      <c r="I186" s="2" t="s">
        <v>351</v>
      </c>
      <c r="J186" s="2" t="s">
        <v>428</v>
      </c>
      <c r="K186" s="2" t="s">
        <v>223</v>
      </c>
      <c r="L186" s="2" t="s">
        <v>345</v>
      </c>
      <c r="M186" s="2" t="s">
        <v>355</v>
      </c>
      <c r="N186" s="2" t="s">
        <v>409</v>
      </c>
      <c r="O186" s="2" t="s">
        <v>199</v>
      </c>
      <c r="P186" s="2" t="s">
        <v>426</v>
      </c>
    </row>
    <row r="187" spans="1:16" ht="25.5">
      <c r="A187" s="5" t="s">
        <v>682</v>
      </c>
      <c r="B187" t="str">
        <f>HYPERLINK("https://www.onsemi.com/PowerSolutions/product.do?id=FAN5350","FAN5350")</f>
        <v>FAN5350</v>
      </c>
      <c r="C187" t="str">
        <f>HYPERLINK("https://www.onsemi.com/pub/Collateral/FAN5350-D.PDF","FAN5350/D (385kB)")</f>
        <v>FAN5350/D (385kB)</v>
      </c>
      <c r="D187" t="s">
        <v>429</v>
      </c>
      <c r="E187" s="2" t="s">
        <v>24</v>
      </c>
      <c r="F187" t="s">
        <v>28</v>
      </c>
      <c r="G187" s="2" t="s">
        <v>29</v>
      </c>
      <c r="H187" s="2"/>
      <c r="I187" s="2" t="s">
        <v>351</v>
      </c>
      <c r="J187" s="2" t="s">
        <v>359</v>
      </c>
      <c r="K187" s="2" t="s">
        <v>223</v>
      </c>
      <c r="L187" s="2" t="s">
        <v>430</v>
      </c>
      <c r="M187" s="2" t="s">
        <v>219</v>
      </c>
      <c r="N187" s="2" t="s">
        <v>361</v>
      </c>
      <c r="O187" s="2" t="s">
        <v>384</v>
      </c>
      <c r="P187" s="2" t="s">
        <v>367</v>
      </c>
    </row>
    <row r="188" spans="1:16" ht="25.5">
      <c r="A188" s="5" t="s">
        <v>682</v>
      </c>
      <c r="B188" t="str">
        <f>HYPERLINK("https://www.onsemi.com/PowerSolutions/product.do?id=FAN53525","FAN53525")</f>
        <v>FAN53525</v>
      </c>
      <c r="C188" t="str">
        <f>HYPERLINK("https://www.onsemi.com/pub/Collateral/FAN53525-D.pdf","FAN53525/D (506kB)")</f>
        <v>FAN53525/D (506kB)</v>
      </c>
      <c r="D188" t="s">
        <v>431</v>
      </c>
      <c r="E188" s="2" t="s">
        <v>24</v>
      </c>
      <c r="F188" t="s">
        <v>28</v>
      </c>
      <c r="G188" s="2" t="s">
        <v>29</v>
      </c>
      <c r="H188" s="2"/>
      <c r="I188" s="2" t="s">
        <v>351</v>
      </c>
      <c r="J188" s="2" t="s">
        <v>344</v>
      </c>
      <c r="K188" s="2" t="s">
        <v>223</v>
      </c>
      <c r="L188" s="2" t="s">
        <v>345</v>
      </c>
      <c r="M188" s="2" t="s">
        <v>346</v>
      </c>
      <c r="N188" s="2" t="s">
        <v>347</v>
      </c>
      <c r="O188" s="2" t="s">
        <v>348</v>
      </c>
      <c r="P188" s="2" t="s">
        <v>349</v>
      </c>
    </row>
    <row r="189" spans="1:16" ht="25.5">
      <c r="A189" s="5" t="s">
        <v>682</v>
      </c>
      <c r="B189" t="str">
        <f>HYPERLINK("https://www.onsemi.com/PowerSolutions/product.do?id=FAN53526","FAN53526")</f>
        <v>FAN53526</v>
      </c>
      <c r="C189" t="str">
        <f>HYPERLINK("https://www.onsemi.com/pub/Collateral/FAN53526-D.PDF","FAN53526/D (1488kB)")</f>
        <v>FAN53526/D (1488kB)</v>
      </c>
      <c r="D189" t="s">
        <v>431</v>
      </c>
      <c r="E189" s="2" t="s">
        <v>24</v>
      </c>
      <c r="F189" t="s">
        <v>28</v>
      </c>
      <c r="G189" s="2" t="s">
        <v>29</v>
      </c>
      <c r="H189" s="2"/>
      <c r="I189" s="2" t="s">
        <v>135</v>
      </c>
      <c r="J189" s="2" t="s">
        <v>344</v>
      </c>
      <c r="K189" s="2" t="s">
        <v>223</v>
      </c>
      <c r="L189" s="2" t="s">
        <v>345</v>
      </c>
      <c r="M189" s="2" t="s">
        <v>346</v>
      </c>
      <c r="N189" s="2" t="s">
        <v>347</v>
      </c>
      <c r="O189" s="2" t="s">
        <v>348</v>
      </c>
      <c r="P189" s="2" t="s">
        <v>349</v>
      </c>
    </row>
    <row r="190" spans="1:16" ht="25.5">
      <c r="A190" s="5" t="s">
        <v>682</v>
      </c>
      <c r="B190" t="str">
        <f>HYPERLINK("https://www.onsemi.com/PowerSolutions/product.do?id=FAN53528","FAN53528")</f>
        <v>FAN53528</v>
      </c>
      <c r="C190" t="str">
        <f>HYPERLINK("https://www.onsemi.com/pub/Collateral/FAN53528-D.PDF","FAN53528/D (1546kB)")</f>
        <v>FAN53528/D (1546kB)</v>
      </c>
      <c r="D190" t="s">
        <v>432</v>
      </c>
      <c r="E190" s="2" t="s">
        <v>24</v>
      </c>
      <c r="F190" t="s">
        <v>28</v>
      </c>
      <c r="G190" s="2" t="s">
        <v>29</v>
      </c>
      <c r="H190" s="2"/>
      <c r="I190" s="2" t="s">
        <v>135</v>
      </c>
      <c r="J190" s="2" t="s">
        <v>344</v>
      </c>
      <c r="K190" s="2" t="s">
        <v>223</v>
      </c>
      <c r="L190" s="2" t="s">
        <v>345</v>
      </c>
      <c r="M190" s="2" t="s">
        <v>346</v>
      </c>
      <c r="N190" s="2" t="s">
        <v>347</v>
      </c>
      <c r="O190" s="2" t="s">
        <v>348</v>
      </c>
      <c r="P190" s="2" t="s">
        <v>349</v>
      </c>
    </row>
    <row r="191" spans="1:16" ht="25.5">
      <c r="A191" s="5" t="s">
        <v>682</v>
      </c>
      <c r="B191" t="str">
        <f>HYPERLINK("https://www.onsemi.com/PowerSolutions/product.do?id=FAN5353","FAN5353")</f>
        <v>FAN5353</v>
      </c>
      <c r="C191" t="str">
        <f>HYPERLINK("https://www.onsemi.com/pub/Collateral/FAN5353-D.pdf","FAN5353/D (1186kB)")</f>
        <v>FAN5353/D (1186kB)</v>
      </c>
      <c r="D191" t="s">
        <v>433</v>
      </c>
      <c r="E191" s="2" t="s">
        <v>24</v>
      </c>
      <c r="F191" t="s">
        <v>28</v>
      </c>
      <c r="G191" s="2" t="s">
        <v>29</v>
      </c>
      <c r="H191" s="2"/>
      <c r="I191" s="2" t="s">
        <v>135</v>
      </c>
      <c r="J191" s="2" t="s">
        <v>359</v>
      </c>
      <c r="K191" s="2" t="s">
        <v>223</v>
      </c>
      <c r="L191" s="2" t="s">
        <v>345</v>
      </c>
      <c r="M191" s="2" t="s">
        <v>346</v>
      </c>
      <c r="N191" s="2" t="s">
        <v>434</v>
      </c>
      <c r="O191" s="2" t="s">
        <v>384</v>
      </c>
      <c r="P191" s="2" t="s">
        <v>435</v>
      </c>
    </row>
    <row r="192" spans="1:16" ht="25.5">
      <c r="A192" s="5" t="s">
        <v>682</v>
      </c>
      <c r="B192" t="str">
        <f>HYPERLINK("https://www.onsemi.com/PowerSolutions/product.do?id=FAN5354","FAN5354")</f>
        <v>FAN5354</v>
      </c>
      <c r="C192" t="str">
        <f>HYPERLINK("https://www.onsemi.com/pub/Collateral/FAN5354-D.pdf","FAN5354/D (1035kB)")</f>
        <v>FAN5354/D (1035kB)</v>
      </c>
      <c r="D192" t="s">
        <v>433</v>
      </c>
      <c r="E192" s="2" t="s">
        <v>24</v>
      </c>
      <c r="F192" t="s">
        <v>28</v>
      </c>
      <c r="G192" s="2" t="s">
        <v>29</v>
      </c>
      <c r="H192" s="2"/>
      <c r="I192" s="2" t="s">
        <v>135</v>
      </c>
      <c r="J192" s="2" t="s">
        <v>359</v>
      </c>
      <c r="K192" s="2" t="s">
        <v>223</v>
      </c>
      <c r="L192" s="2" t="s">
        <v>345</v>
      </c>
      <c r="M192" s="2" t="s">
        <v>346</v>
      </c>
      <c r="N192" s="2" t="s">
        <v>434</v>
      </c>
      <c r="O192" s="2" t="s">
        <v>384</v>
      </c>
      <c r="P192" s="2" t="s">
        <v>435</v>
      </c>
    </row>
    <row r="193" spans="1:16" ht="25.5">
      <c r="A193" s="5" t="s">
        <v>682</v>
      </c>
      <c r="B193" t="str">
        <f>HYPERLINK("https://www.onsemi.com/PowerSolutions/product.do?id=FAN53541","FAN53541")</f>
        <v>FAN53541</v>
      </c>
      <c r="C193" t="str">
        <f>HYPERLINK("https://www.onsemi.com/pub/Collateral/FAN53541-D.pdf","FAN53541/D (1042kB)")</f>
        <v>FAN53541/D (1042kB)</v>
      </c>
      <c r="D193" t="s">
        <v>436</v>
      </c>
      <c r="E193" s="2" t="s">
        <v>24</v>
      </c>
      <c r="F193" t="s">
        <v>28</v>
      </c>
      <c r="G193" s="2" t="s">
        <v>29</v>
      </c>
      <c r="H193" s="2"/>
      <c r="I193" s="2" t="s">
        <v>135</v>
      </c>
      <c r="J193" s="2" t="s">
        <v>359</v>
      </c>
      <c r="K193" s="2" t="s">
        <v>223</v>
      </c>
      <c r="L193" s="2" t="s">
        <v>345</v>
      </c>
      <c r="M193" s="2" t="s">
        <v>241</v>
      </c>
      <c r="N193" s="2" t="s">
        <v>361</v>
      </c>
      <c r="O193" s="2" t="s">
        <v>348</v>
      </c>
      <c r="P193" s="2" t="s">
        <v>416</v>
      </c>
    </row>
    <row r="194" spans="1:16" ht="25.5">
      <c r="A194" s="5" t="s">
        <v>682</v>
      </c>
      <c r="B194" t="str">
        <f>HYPERLINK("https://www.onsemi.com/PowerSolutions/product.do?id=FAN5355","FAN5355")</f>
        <v>FAN5355</v>
      </c>
      <c r="C194" t="str">
        <f>HYPERLINK("https://www.onsemi.com/pub/Collateral/FAN5355-D.pdf","FAN5355/D (1865kB)")</f>
        <v>FAN5355/D (1865kB)</v>
      </c>
      <c r="D194" t="s">
        <v>437</v>
      </c>
      <c r="E194" s="2" t="s">
        <v>24</v>
      </c>
      <c r="F194" t="s">
        <v>28</v>
      </c>
      <c r="G194" s="2" t="s">
        <v>29</v>
      </c>
      <c r="H194" s="2"/>
      <c r="I194" s="2" t="s">
        <v>135</v>
      </c>
      <c r="J194" s="2" t="s">
        <v>359</v>
      </c>
      <c r="K194" s="2" t="s">
        <v>223</v>
      </c>
      <c r="L194" s="2" t="s">
        <v>345</v>
      </c>
      <c r="M194" s="2" t="s">
        <v>157</v>
      </c>
      <c r="N194" s="2" t="s">
        <v>409</v>
      </c>
      <c r="O194" s="2" t="s">
        <v>384</v>
      </c>
      <c r="P194" s="2" t="s">
        <v>438</v>
      </c>
    </row>
    <row r="195" spans="1:16" ht="25.5">
      <c r="A195" s="5" t="s">
        <v>682</v>
      </c>
      <c r="B195" t="str">
        <f>HYPERLINK("https://www.onsemi.com/PowerSolutions/product.do?id=FAN53555","FAN53555")</f>
        <v>FAN53555</v>
      </c>
      <c r="C195" t="str">
        <f>HYPERLINK("https://www.onsemi.com/pub/Collateral/FAN53555-D.PDF","FAN53555/D (953kB)")</f>
        <v>FAN53555/D (953kB)</v>
      </c>
      <c r="D195" t="s">
        <v>439</v>
      </c>
      <c r="E195" s="2" t="s">
        <v>24</v>
      </c>
      <c r="F195" t="s">
        <v>28</v>
      </c>
      <c r="G195" s="2" t="s">
        <v>29</v>
      </c>
      <c r="H195" s="2"/>
      <c r="I195" s="2" t="s">
        <v>135</v>
      </c>
      <c r="J195" s="2" t="s">
        <v>344</v>
      </c>
      <c r="K195" s="2" t="s">
        <v>223</v>
      </c>
      <c r="L195" s="2" t="s">
        <v>345</v>
      </c>
      <c r="M195" s="2" t="s">
        <v>241</v>
      </c>
      <c r="N195" s="2" t="s">
        <v>347</v>
      </c>
      <c r="O195" s="2" t="s">
        <v>348</v>
      </c>
      <c r="P195" s="2" t="s">
        <v>416</v>
      </c>
    </row>
    <row r="196" spans="1:16" ht="25.5">
      <c r="A196" s="5" t="s">
        <v>682</v>
      </c>
      <c r="B196" t="str">
        <f>HYPERLINK("https://www.onsemi.com/PowerSolutions/product.do?id=FAN53600","FAN53600")</f>
        <v>FAN53600</v>
      </c>
      <c r="C196" t="str">
        <f>HYPERLINK("https://www.onsemi.com/pub/Collateral/FAN53610-D.pdf","FAN53610/D (1171kB)")</f>
        <v>FAN53610/D (1171kB)</v>
      </c>
      <c r="D196" t="s">
        <v>440</v>
      </c>
      <c r="E196" s="2" t="s">
        <v>24</v>
      </c>
      <c r="F196" t="s">
        <v>28</v>
      </c>
      <c r="G196" s="2" t="s">
        <v>29</v>
      </c>
      <c r="H196" s="2"/>
      <c r="I196" s="2" t="s">
        <v>135</v>
      </c>
      <c r="J196" s="2" t="s">
        <v>380</v>
      </c>
      <c r="K196" s="2" t="s">
        <v>223</v>
      </c>
      <c r="L196" s="2" t="s">
        <v>441</v>
      </c>
      <c r="M196" s="2" t="s">
        <v>219</v>
      </c>
      <c r="N196" s="2" t="s">
        <v>396</v>
      </c>
      <c r="O196" s="2" t="s">
        <v>384</v>
      </c>
      <c r="P196" s="2" t="s">
        <v>411</v>
      </c>
    </row>
    <row r="197" spans="1:16" ht="51">
      <c r="A197" s="5" t="s">
        <v>682</v>
      </c>
      <c r="B197" t="str">
        <f>HYPERLINK("https://www.onsemi.com/PowerSolutions/product.do?id=FAN53601","FAN53601")</f>
        <v>FAN53601</v>
      </c>
      <c r="C197" t="str">
        <f>HYPERLINK("https://www.onsemi.com/pub/Collateral/FAN53611-D.PDF","FAN53611/D (757kB)")</f>
        <v>FAN53611/D (757kB)</v>
      </c>
      <c r="D197" t="s">
        <v>442</v>
      </c>
      <c r="E197" s="2" t="s">
        <v>24</v>
      </c>
      <c r="F197" t="s">
        <v>28</v>
      </c>
      <c r="G197" s="2" t="s">
        <v>29</v>
      </c>
      <c r="H197" s="2"/>
      <c r="I197" s="2" t="s">
        <v>135</v>
      </c>
      <c r="J197" s="2" t="s">
        <v>380</v>
      </c>
      <c r="K197" s="2" t="s">
        <v>223</v>
      </c>
      <c r="L197" s="2" t="s">
        <v>443</v>
      </c>
      <c r="M197" s="2" t="s">
        <v>444</v>
      </c>
      <c r="N197" s="2" t="s">
        <v>383</v>
      </c>
      <c r="O197" s="2" t="s">
        <v>445</v>
      </c>
      <c r="P197" s="2" t="s">
        <v>411</v>
      </c>
    </row>
    <row r="198" spans="1:16" ht="25.5">
      <c r="A198" s="5" t="s">
        <v>682</v>
      </c>
      <c r="B198" t="str">
        <f>HYPERLINK("https://www.onsemi.com/PowerSolutions/product.do?id=FAN53602","FAN53602")</f>
        <v>FAN53602</v>
      </c>
      <c r="C198" t="str">
        <f>HYPERLINK("https://www.onsemi.com/pub/Collateral/FAN53602-D.PDF","FAN53602/D (1003kB)")</f>
        <v>FAN53602/D (1003kB)</v>
      </c>
      <c r="D198" t="s">
        <v>446</v>
      </c>
      <c r="E198" s="2" t="s">
        <v>24</v>
      </c>
      <c r="F198" t="s">
        <v>28</v>
      </c>
      <c r="G198" s="2" t="s">
        <v>29</v>
      </c>
      <c r="H198" s="2"/>
      <c r="I198" s="2" t="s">
        <v>135</v>
      </c>
      <c r="J198" s="2" t="s">
        <v>380</v>
      </c>
      <c r="K198" s="2" t="s">
        <v>223</v>
      </c>
      <c r="L198" s="2" t="s">
        <v>447</v>
      </c>
      <c r="M198" s="2" t="s">
        <v>34</v>
      </c>
      <c r="N198" s="2" t="s">
        <v>423</v>
      </c>
      <c r="O198" s="2" t="s">
        <v>445</v>
      </c>
      <c r="P198" s="2" t="s">
        <v>411</v>
      </c>
    </row>
    <row r="199" spans="1:16" ht="51">
      <c r="A199" s="5" t="s">
        <v>682</v>
      </c>
      <c r="B199" t="str">
        <f>HYPERLINK("https://www.onsemi.com/PowerSolutions/product.do?id=FAN5361","FAN5361")</f>
        <v>FAN5361</v>
      </c>
      <c r="C199" t="str">
        <f>HYPERLINK("https://www.onsemi.com/pub/Collateral/FAN5361-D.PDF","FAN5361/D (1146kB)")</f>
        <v>FAN5361/D (1146kB)</v>
      </c>
      <c r="D199" t="s">
        <v>448</v>
      </c>
      <c r="E199" s="2" t="s">
        <v>24</v>
      </c>
      <c r="F199" t="s">
        <v>28</v>
      </c>
      <c r="G199" s="2" t="s">
        <v>29</v>
      </c>
      <c r="H199" s="2"/>
      <c r="I199" s="2" t="s">
        <v>135</v>
      </c>
      <c r="J199" s="2" t="s">
        <v>380</v>
      </c>
      <c r="K199" s="2" t="s">
        <v>223</v>
      </c>
      <c r="L199" s="2" t="s">
        <v>449</v>
      </c>
      <c r="M199" s="2" t="s">
        <v>219</v>
      </c>
      <c r="N199" s="2" t="s">
        <v>383</v>
      </c>
      <c r="O199" s="2" t="s">
        <v>445</v>
      </c>
      <c r="P199" s="2" t="s">
        <v>385</v>
      </c>
    </row>
    <row r="200" spans="1:16" ht="38.25">
      <c r="A200" s="5" t="s">
        <v>682</v>
      </c>
      <c r="B200" t="str">
        <f>HYPERLINK("https://www.onsemi.com/PowerSolutions/product.do?id=FAN53610","FAN53610")</f>
        <v>FAN53610</v>
      </c>
      <c r="C200" t="str">
        <f>HYPERLINK("https://www.onsemi.com/pub/Collateral/FAN53610-D.pdf","FAN53610/D (1171kB)")</f>
        <v>FAN53610/D (1171kB)</v>
      </c>
      <c r="D200" t="s">
        <v>440</v>
      </c>
      <c r="E200" s="2" t="s">
        <v>24</v>
      </c>
      <c r="F200" t="s">
        <v>28</v>
      </c>
      <c r="G200" s="2" t="s">
        <v>29</v>
      </c>
      <c r="H200" s="2"/>
      <c r="I200" s="2" t="s">
        <v>135</v>
      </c>
      <c r="J200" s="2" t="s">
        <v>380</v>
      </c>
      <c r="K200" s="2" t="s">
        <v>223</v>
      </c>
      <c r="L200" s="2" t="s">
        <v>450</v>
      </c>
      <c r="M200" s="2" t="s">
        <v>16</v>
      </c>
      <c r="N200" s="2" t="s">
        <v>396</v>
      </c>
      <c r="O200" s="2" t="s">
        <v>384</v>
      </c>
      <c r="P200" s="2" t="s">
        <v>411</v>
      </c>
    </row>
    <row r="201" spans="1:16" ht="89.25">
      <c r="A201" s="5" t="s">
        <v>682</v>
      </c>
      <c r="B201" t="str">
        <f>HYPERLINK("https://www.onsemi.com/PowerSolutions/product.do?id=FAN53611","FAN53611")</f>
        <v>FAN53611</v>
      </c>
      <c r="C201" t="str">
        <f>HYPERLINK("https://www.onsemi.com/pub/Collateral/FAN53611-D.PDF","FAN53611/D (757kB)")</f>
        <v>FAN53611/D (757kB)</v>
      </c>
      <c r="D201" t="s">
        <v>442</v>
      </c>
      <c r="E201" s="2" t="s">
        <v>24</v>
      </c>
      <c r="F201" t="s">
        <v>28</v>
      </c>
      <c r="G201" s="2" t="s">
        <v>29</v>
      </c>
      <c r="H201" s="2"/>
      <c r="I201" s="2" t="s">
        <v>135</v>
      </c>
      <c r="J201" s="2" t="s">
        <v>380</v>
      </c>
      <c r="K201" s="2" t="s">
        <v>223</v>
      </c>
      <c r="L201" s="2" t="s">
        <v>451</v>
      </c>
      <c r="M201" s="2" t="s">
        <v>16</v>
      </c>
      <c r="N201" s="2" t="s">
        <v>383</v>
      </c>
      <c r="O201" s="2" t="s">
        <v>445</v>
      </c>
      <c r="P201" s="2" t="s">
        <v>411</v>
      </c>
    </row>
    <row r="202" spans="1:16" ht="25.5">
      <c r="A202" s="5" t="s">
        <v>682</v>
      </c>
      <c r="B202" t="str">
        <f>HYPERLINK("https://www.onsemi.com/PowerSolutions/product.do?id=FAN5362","FAN5362")</f>
        <v>FAN5362</v>
      </c>
      <c r="C202" t="str">
        <f>HYPERLINK("https://www.onsemi.com/pub/Collateral/FAN5362-D.pdf","FAN5362/D (1512kB)")</f>
        <v>FAN5362/D (1512kB)</v>
      </c>
      <c r="D202" t="s">
        <v>452</v>
      </c>
      <c r="E202" s="2" t="s">
        <v>24</v>
      </c>
      <c r="F202" t="s">
        <v>28</v>
      </c>
      <c r="G202" s="2" t="s">
        <v>29</v>
      </c>
      <c r="H202" s="2"/>
      <c r="I202" s="2" t="s">
        <v>135</v>
      </c>
      <c r="J202" s="2" t="s">
        <v>359</v>
      </c>
      <c r="K202" s="2" t="s">
        <v>223</v>
      </c>
      <c r="L202" s="2" t="s">
        <v>30</v>
      </c>
      <c r="M202" s="2" t="s">
        <v>453</v>
      </c>
      <c r="N202" s="2" t="s">
        <v>325</v>
      </c>
      <c r="O202" s="2" t="s">
        <v>384</v>
      </c>
      <c r="P202" s="2" t="s">
        <v>454</v>
      </c>
    </row>
    <row r="203" spans="1:16" ht="25.5">
      <c r="A203" s="5" t="s">
        <v>682</v>
      </c>
      <c r="B203" t="str">
        <f>HYPERLINK("https://www.onsemi.com/PowerSolutions/product.do?id=FAN53703","FAN53703")</f>
        <v>FAN53703</v>
      </c>
      <c r="C203" t="str">
        <f>HYPERLINK("https://www.onsemi.com/pub/Collateral/FAN53701-D.PDF","FAN53701/D (314kB)")</f>
        <v>FAN53701/D (314kB)</v>
      </c>
      <c r="D203" t="s">
        <v>455</v>
      </c>
      <c r="E203" s="2" t="s">
        <v>24</v>
      </c>
      <c r="F203" t="s">
        <v>28</v>
      </c>
      <c r="G203" s="2" t="s">
        <v>29</v>
      </c>
      <c r="H203" s="2"/>
      <c r="I203" s="2" t="s">
        <v>135</v>
      </c>
      <c r="J203" s="2" t="s">
        <v>380</v>
      </c>
      <c r="K203" s="2" t="s">
        <v>223</v>
      </c>
      <c r="L203" s="2" t="s">
        <v>346</v>
      </c>
      <c r="M203" s="2" t="s">
        <v>16</v>
      </c>
      <c r="N203" s="2" t="s">
        <v>361</v>
      </c>
      <c r="O203" s="2" t="s">
        <v>390</v>
      </c>
      <c r="P203" s="2" t="s">
        <v>411</v>
      </c>
    </row>
    <row r="204" spans="1:16" ht="25.5">
      <c r="A204" s="5" t="s">
        <v>682</v>
      </c>
      <c r="B204" t="str">
        <f>HYPERLINK("https://www.onsemi.com/PowerSolutions/product.do?id=FAN53713","FAN53713")</f>
        <v>FAN53713</v>
      </c>
      <c r="C204" t="str">
        <f>HYPERLINK("https://www.onsemi.com/pub/Collateral/FAN53713-D.PDF","FAN53713/D (554kB)")</f>
        <v>FAN53713/D (554kB)</v>
      </c>
      <c r="D204" t="s">
        <v>456</v>
      </c>
      <c r="E204" s="2" t="s">
        <v>24</v>
      </c>
      <c r="F204" t="s">
        <v>28</v>
      </c>
      <c r="G204" s="2" t="s">
        <v>29</v>
      </c>
      <c r="H204" s="2"/>
      <c r="I204" s="2" t="s">
        <v>135</v>
      </c>
      <c r="J204" s="2" t="s">
        <v>380</v>
      </c>
      <c r="K204" s="2" t="s">
        <v>223</v>
      </c>
      <c r="L204" s="2" t="s">
        <v>457</v>
      </c>
      <c r="M204" s="2" t="s">
        <v>355</v>
      </c>
      <c r="N204" s="2" t="s">
        <v>361</v>
      </c>
      <c r="O204" s="2" t="s">
        <v>390</v>
      </c>
      <c r="P204" s="2" t="s">
        <v>411</v>
      </c>
    </row>
    <row r="205" spans="1:16" ht="25.5">
      <c r="A205" s="5" t="s">
        <v>682</v>
      </c>
      <c r="B205" t="str">
        <f>HYPERLINK("https://www.onsemi.com/PowerSolutions/product.do?id=FAN53741","FAN53741")</f>
        <v>FAN53741</v>
      </c>
      <c r="C205" t="str">
        <f>HYPERLINK("https://www.onsemi.com/pub/Collateral/FAN53741-D.PDF","FAN53741/D (349kB)")</f>
        <v>FAN53741/D (349kB)</v>
      </c>
      <c r="D205" t="s">
        <v>458</v>
      </c>
      <c r="E205" s="2" t="s">
        <v>24</v>
      </c>
      <c r="F205" t="s">
        <v>28</v>
      </c>
      <c r="G205" s="2" t="s">
        <v>29</v>
      </c>
      <c r="H205" s="2"/>
      <c r="I205" s="2" t="s">
        <v>135</v>
      </c>
      <c r="J205" s="2" t="s">
        <v>380</v>
      </c>
      <c r="K205" s="2" t="s">
        <v>223</v>
      </c>
      <c r="L205" s="2" t="s">
        <v>345</v>
      </c>
      <c r="M205" s="2" t="s">
        <v>459</v>
      </c>
      <c r="N205" s="2" t="s">
        <v>396</v>
      </c>
      <c r="O205" s="2" t="s">
        <v>390</v>
      </c>
      <c r="P205" s="2" t="s">
        <v>411</v>
      </c>
    </row>
    <row r="206" spans="1:16" ht="25.5">
      <c r="A206" s="5" t="s">
        <v>682</v>
      </c>
      <c r="B206" t="str">
        <f>HYPERLINK("https://www.onsemi.com/PowerSolutions/product.do?id=FAN53763","FAN53763")</f>
        <v>FAN53763</v>
      </c>
      <c r="C206" t="str">
        <f>HYPERLINK("https://www.onsemi.com/pub/Collateral/FAN53763-D.PDF","FAN53763/D (282kB)")</f>
        <v>FAN53763/D (282kB)</v>
      </c>
      <c r="D206" t="s">
        <v>456</v>
      </c>
      <c r="E206" s="2" t="s">
        <v>24</v>
      </c>
      <c r="F206" t="s">
        <v>28</v>
      </c>
      <c r="G206" s="2" t="s">
        <v>29</v>
      </c>
      <c r="H206" s="2"/>
      <c r="I206" s="2" t="s">
        <v>135</v>
      </c>
      <c r="J206" s="2" t="s">
        <v>380</v>
      </c>
      <c r="K206" s="2" t="s">
        <v>223</v>
      </c>
      <c r="L206" s="2" t="s">
        <v>428</v>
      </c>
      <c r="M206" s="2" t="s">
        <v>355</v>
      </c>
      <c r="N206" s="2" t="s">
        <v>361</v>
      </c>
      <c r="O206" s="2" t="s">
        <v>390</v>
      </c>
      <c r="P206" s="2" t="s">
        <v>411</v>
      </c>
    </row>
    <row r="207" spans="1:16" ht="25.5">
      <c r="A207" s="5" t="s">
        <v>682</v>
      </c>
      <c r="B207" t="str">
        <f>HYPERLINK("https://www.onsemi.com/PowerSolutions/product.do?id=FAN5903","FAN5903")</f>
        <v>FAN5903</v>
      </c>
      <c r="C207" t="str">
        <f>HYPERLINK("https://www.onsemi.com/pub/Collateral/FAN5903-D.pdf","FAN5903/D (2280kB)")</f>
        <v>FAN5903/D (2280kB)</v>
      </c>
      <c r="D207" t="s">
        <v>460</v>
      </c>
      <c r="E207" s="2" t="s">
        <v>24</v>
      </c>
      <c r="F207" t="s">
        <v>28</v>
      </c>
      <c r="G207" s="2" t="s">
        <v>29</v>
      </c>
      <c r="H207" s="2"/>
      <c r="I207" s="2" t="s">
        <v>135</v>
      </c>
      <c r="J207" s="2" t="s">
        <v>359</v>
      </c>
      <c r="K207" s="2" t="s">
        <v>223</v>
      </c>
      <c r="L207" s="2" t="s">
        <v>345</v>
      </c>
      <c r="M207" s="2" t="s">
        <v>16</v>
      </c>
      <c r="N207" s="2" t="s">
        <v>325</v>
      </c>
      <c r="O207" s="2" t="s">
        <v>461</v>
      </c>
      <c r="P207" s="2" t="s">
        <v>391</v>
      </c>
    </row>
    <row r="208" spans="1:16" ht="25.5">
      <c r="A208" s="5" t="s">
        <v>682</v>
      </c>
      <c r="B208" t="str">
        <f>HYPERLINK("https://www.onsemi.com/PowerSolutions/product.do?id=FAN5904","FAN5904")</f>
        <v>FAN5904</v>
      </c>
      <c r="C208" t="str">
        <f>HYPERLINK("https://www.onsemi.com/pub/Collateral/FAN5904-D.pdf","FAN5904/D (2174kB)")</f>
        <v>FAN5904/D (2174kB)</v>
      </c>
      <c r="D208" t="s">
        <v>462</v>
      </c>
      <c r="E208" s="2" t="s">
        <v>24</v>
      </c>
      <c r="F208" t="s">
        <v>28</v>
      </c>
      <c r="G208" s="2" t="s">
        <v>29</v>
      </c>
      <c r="H208" s="2"/>
      <c r="I208" s="2" t="s">
        <v>135</v>
      </c>
      <c r="J208" s="2" t="s">
        <v>359</v>
      </c>
      <c r="K208" s="2" t="s">
        <v>223</v>
      </c>
      <c r="L208" s="2" t="s">
        <v>345</v>
      </c>
      <c r="M208" s="2" t="s">
        <v>34</v>
      </c>
      <c r="N208" s="2" t="s">
        <v>463</v>
      </c>
      <c r="O208" s="2" t="s">
        <v>461</v>
      </c>
      <c r="P208" s="2" t="s">
        <v>400</v>
      </c>
    </row>
    <row r="209" spans="1:16" ht="25.5">
      <c r="A209" s="5" t="s">
        <v>682</v>
      </c>
      <c r="B209" t="str">
        <f>HYPERLINK("https://www.onsemi.com/PowerSolutions/product.do?id=FAN5909","FAN5909")</f>
        <v>FAN5909</v>
      </c>
      <c r="C209" t="str">
        <f>HYPERLINK("https://www.onsemi.com/pub/Collateral/FAN5909-D.PDF","FAN5909/D (659kB)")</f>
        <v>FAN5909/D (659kB)</v>
      </c>
      <c r="D209" t="s">
        <v>464</v>
      </c>
      <c r="E209" s="2" t="s">
        <v>24</v>
      </c>
      <c r="F209" t="s">
        <v>28</v>
      </c>
      <c r="G209" s="2" t="s">
        <v>29</v>
      </c>
      <c r="H209" s="2"/>
      <c r="I209" s="2" t="s">
        <v>135</v>
      </c>
      <c r="J209" s="2" t="s">
        <v>359</v>
      </c>
      <c r="K209" s="2" t="s">
        <v>223</v>
      </c>
      <c r="L209" s="2" t="s">
        <v>345</v>
      </c>
      <c r="M209" s="2" t="s">
        <v>346</v>
      </c>
      <c r="N209" s="2" t="s">
        <v>463</v>
      </c>
      <c r="O209" s="2" t="s">
        <v>465</v>
      </c>
      <c r="P209" s="2" t="s">
        <v>400</v>
      </c>
    </row>
    <row r="210" spans="1:16" ht="25.5">
      <c r="A210" s="5" t="s">
        <v>682</v>
      </c>
      <c r="B210" t="str">
        <f>HYPERLINK("https://www.onsemi.com/PowerSolutions/product.do?id=FAN5910","FAN5910")</f>
        <v>FAN5910</v>
      </c>
      <c r="C210" t="str">
        <f>HYPERLINK("https://www.onsemi.com/pub/Collateral/FAN5910-D.PDF","FAN5910/D (453kB)")</f>
        <v>FAN5910/D (453kB)</v>
      </c>
      <c r="D210" t="s">
        <v>466</v>
      </c>
      <c r="E210" s="2" t="s">
        <v>24</v>
      </c>
      <c r="F210" t="s">
        <v>28</v>
      </c>
      <c r="G210" s="2" t="s">
        <v>29</v>
      </c>
      <c r="H210" s="2"/>
      <c r="I210" s="2" t="s">
        <v>135</v>
      </c>
      <c r="J210" s="2" t="s">
        <v>359</v>
      </c>
      <c r="K210" s="2" t="s">
        <v>223</v>
      </c>
      <c r="L210" s="2" t="s">
        <v>345</v>
      </c>
      <c r="M210" s="2" t="s">
        <v>344</v>
      </c>
      <c r="N210" s="2" t="s">
        <v>463</v>
      </c>
      <c r="O210" s="2" t="s">
        <v>465</v>
      </c>
      <c r="P210" s="2" t="s">
        <v>400</v>
      </c>
    </row>
    <row r="211" spans="1:16" ht="25.5">
      <c r="A211" s="5" t="s">
        <v>682</v>
      </c>
      <c r="B211" t="str">
        <f>HYPERLINK("https://www.onsemi.com/PowerSolutions/product.do?id=FAN65004B","FAN65004B")</f>
        <v>FAN65004B</v>
      </c>
      <c r="C211" t="str">
        <f>HYPERLINK("https://www.onsemi.com/pub/Collateral/FAN65004B-D.PDF","FAN65004B/D (1851kB)")</f>
        <v>FAN65004B/D (1851kB)</v>
      </c>
      <c r="D211" t="s">
        <v>350</v>
      </c>
      <c r="E211" s="2" t="s">
        <v>24</v>
      </c>
      <c r="F211" t="s">
        <v>28</v>
      </c>
      <c r="G211" s="2" t="s">
        <v>29</v>
      </c>
      <c r="H211" s="2"/>
      <c r="I211" s="2" t="s">
        <v>135</v>
      </c>
      <c r="J211" s="2" t="s">
        <v>45</v>
      </c>
      <c r="K211" s="2" t="s">
        <v>64</v>
      </c>
      <c r="L211" s="2" t="s">
        <v>345</v>
      </c>
      <c r="M211" s="2" t="s">
        <v>272</v>
      </c>
      <c r="N211" s="2" t="s">
        <v>351</v>
      </c>
      <c r="O211" s="2" t="s">
        <v>297</v>
      </c>
      <c r="P211" s="2" t="s">
        <v>352</v>
      </c>
    </row>
    <row r="212" spans="1:16" ht="25.5">
      <c r="A212" s="5" t="s">
        <v>682</v>
      </c>
      <c r="B212" t="str">
        <f>HYPERLINK("https://www.onsemi.com/PowerSolutions/product.do?id=FAN65005A","FAN65005A")</f>
        <v>FAN65005A</v>
      </c>
      <c r="C212" t="str">
        <f>HYPERLINK("https://www.onsemi.com/pub/Collateral/FAN65005A-D.PDF","FAN65005A/D (1854kB)")</f>
        <v>FAN65005A/D (1854kB)</v>
      </c>
      <c r="D212" t="s">
        <v>467</v>
      </c>
      <c r="E212" s="2" t="s">
        <v>24</v>
      </c>
      <c r="F212" t="s">
        <v>28</v>
      </c>
      <c r="G212" s="2" t="s">
        <v>29</v>
      </c>
      <c r="H212" s="2"/>
      <c r="I212" s="2" t="s">
        <v>135</v>
      </c>
      <c r="J212" s="2" t="s">
        <v>45</v>
      </c>
      <c r="K212" s="2" t="s">
        <v>64</v>
      </c>
      <c r="L212" s="2" t="s">
        <v>345</v>
      </c>
      <c r="M212" s="2" t="s">
        <v>128</v>
      </c>
      <c r="N212" s="2" t="s">
        <v>351</v>
      </c>
      <c r="O212" s="2" t="s">
        <v>297</v>
      </c>
      <c r="P212" s="2" t="s">
        <v>352</v>
      </c>
    </row>
    <row r="213" spans="1:16" ht="25.5">
      <c r="A213" s="5" t="s">
        <v>682</v>
      </c>
      <c r="B213" t="str">
        <f>HYPERLINK("https://www.onsemi.com/PowerSolutions/product.do?id=FAN65008B","FAN65008B")</f>
        <v>FAN65008B</v>
      </c>
      <c r="C213" t="str">
        <f>HYPERLINK("https://www.onsemi.com/pub/Collateral/FAN65008B-D.PDF","FAN65008B/D (1811kB)")</f>
        <v>FAN65008B/D (1811kB)</v>
      </c>
      <c r="D213" t="s">
        <v>468</v>
      </c>
      <c r="E213" s="2" t="s">
        <v>24</v>
      </c>
      <c r="F213" t="s">
        <v>28</v>
      </c>
      <c r="G213" s="2" t="s">
        <v>29</v>
      </c>
      <c r="H213" s="2"/>
      <c r="I213" s="2" t="s">
        <v>135</v>
      </c>
      <c r="J213" s="2" t="s">
        <v>45</v>
      </c>
      <c r="K213" s="2" t="s">
        <v>64</v>
      </c>
      <c r="L213" s="2" t="s">
        <v>345</v>
      </c>
      <c r="M213" s="2" t="s">
        <v>372</v>
      </c>
      <c r="N213" s="2" t="s">
        <v>351</v>
      </c>
      <c r="O213" s="2" t="s">
        <v>297</v>
      </c>
      <c r="P213" s="2" t="s">
        <v>352</v>
      </c>
    </row>
    <row r="214" spans="1:16" ht="25.5">
      <c r="A214" s="5" t="s">
        <v>682</v>
      </c>
      <c r="B214" t="str">
        <f>HYPERLINK("https://www.onsemi.com/PowerSolutions/product.do?id=FAN8060","FAN8060")</f>
        <v>FAN8060</v>
      </c>
      <c r="C214" t="str">
        <f>HYPERLINK("https://www.onsemi.com/pub/Collateral/FAN8060-D.pdf","FAN8060/D (484kB)")</f>
        <v>FAN8060/D (484kB)</v>
      </c>
      <c r="D214" t="s">
        <v>469</v>
      </c>
      <c r="E214" s="2" t="s">
        <v>24</v>
      </c>
      <c r="F214" t="s">
        <v>28</v>
      </c>
      <c r="G214" s="2" t="s">
        <v>29</v>
      </c>
      <c r="H214" s="2"/>
      <c r="I214" s="2" t="s">
        <v>135</v>
      </c>
      <c r="J214" s="2" t="s">
        <v>344</v>
      </c>
      <c r="K214" s="2" t="s">
        <v>223</v>
      </c>
      <c r="L214" s="2" t="s">
        <v>345</v>
      </c>
      <c r="M214" s="2" t="s">
        <v>16</v>
      </c>
      <c r="N214" s="2" t="s">
        <v>325</v>
      </c>
      <c r="O214" s="2" t="s">
        <v>470</v>
      </c>
      <c r="P214" s="2" t="s">
        <v>67</v>
      </c>
    </row>
    <row r="215" spans="1:16" ht="25.5">
      <c r="A215" s="5" t="s">
        <v>682</v>
      </c>
      <c r="B215" t="str">
        <f>HYPERLINK("https://www.onsemi.com/PowerSolutions/product.do?id=FAN8303","FAN8303")</f>
        <v>FAN8303</v>
      </c>
      <c r="C215" t="str">
        <f>HYPERLINK("https://www.onsemi.com/pub/Collateral/FAN8303-D.pdf","FAN8303/D (832kB)")</f>
        <v>FAN8303/D (832kB)</v>
      </c>
      <c r="D215" t="s">
        <v>471</v>
      </c>
      <c r="E215" s="2" t="s">
        <v>24</v>
      </c>
      <c r="F215" t="s">
        <v>28</v>
      </c>
      <c r="G215" s="2" t="s">
        <v>29</v>
      </c>
      <c r="H215" s="2"/>
      <c r="I215" s="2" t="s">
        <v>135</v>
      </c>
      <c r="J215" s="2" t="s">
        <v>241</v>
      </c>
      <c r="K215" s="2" t="s">
        <v>472</v>
      </c>
      <c r="L215" s="2" t="s">
        <v>345</v>
      </c>
      <c r="M215" s="2" t="s">
        <v>252</v>
      </c>
      <c r="N215" s="2" t="s">
        <v>361</v>
      </c>
      <c r="O215" s="2" t="s">
        <v>473</v>
      </c>
      <c r="P215" s="2" t="s">
        <v>21</v>
      </c>
    </row>
    <row r="216" spans="1:16" ht="25.5">
      <c r="A216" s="5" t="s">
        <v>682</v>
      </c>
      <c r="B216" t="str">
        <f>HYPERLINK("https://www.onsemi.com/PowerSolutions/product.do?id=LA5724MC","LA5724MC")</f>
        <v>LA5724MC</v>
      </c>
      <c r="C216" t="str">
        <f>HYPERLINK("https://www.onsemi.com/pub/Collateral/ENA2021-D.PDF","ENA2021/D (152.0kB)")</f>
        <v>ENA2021/D (152.0kB)</v>
      </c>
      <c r="D216" t="s">
        <v>474</v>
      </c>
      <c r="E216" s="2" t="s">
        <v>24</v>
      </c>
      <c r="F216" t="s">
        <v>28</v>
      </c>
      <c r="G216" s="2" t="s">
        <v>29</v>
      </c>
      <c r="H216" s="2"/>
      <c r="I216" s="2" t="s">
        <v>135</v>
      </c>
      <c r="J216" s="2" t="s">
        <v>45</v>
      </c>
      <c r="K216" s="2" t="s">
        <v>189</v>
      </c>
      <c r="L216" s="2" t="s">
        <v>475</v>
      </c>
      <c r="M216" s="2" t="s">
        <v>476</v>
      </c>
      <c r="N216" s="2" t="s">
        <v>383</v>
      </c>
      <c r="O216" s="2" t="s">
        <v>477</v>
      </c>
      <c r="P216" s="2" t="s">
        <v>21</v>
      </c>
    </row>
    <row r="217" spans="1:16" ht="51">
      <c r="A217" s="5" t="s">
        <v>682</v>
      </c>
      <c r="B217" t="str">
        <f>HYPERLINK("https://www.onsemi.com/PowerSolutions/product.do?id=LM2574","LM2574")</f>
        <v>LM2574</v>
      </c>
      <c r="C217" t="str">
        <f>HYPERLINK("https://www.onsemi.com/pub/Collateral/LM2574-D.PDF","LM2574/D (234kB)")</f>
        <v>LM2574/D (234kB)</v>
      </c>
      <c r="D217" t="s">
        <v>478</v>
      </c>
      <c r="E217" s="2" t="s">
        <v>49</v>
      </c>
      <c r="F217" t="s">
        <v>28</v>
      </c>
      <c r="G217" s="2" t="s">
        <v>29</v>
      </c>
      <c r="H217" s="2"/>
      <c r="I217" s="2" t="s">
        <v>135</v>
      </c>
      <c r="J217" s="2" t="s">
        <v>179</v>
      </c>
      <c r="K217" s="2" t="s">
        <v>119</v>
      </c>
      <c r="L217" s="2" t="s">
        <v>479</v>
      </c>
      <c r="M217" s="2" t="s">
        <v>453</v>
      </c>
      <c r="N217" s="2" t="s">
        <v>434</v>
      </c>
      <c r="O217" s="2" t="s">
        <v>114</v>
      </c>
      <c r="P217" s="2" t="s">
        <v>480</v>
      </c>
    </row>
    <row r="218" spans="1:16" ht="63.75">
      <c r="A218" s="5" t="s">
        <v>682</v>
      </c>
      <c r="B218" t="str">
        <f>HYPERLINK("https://www.onsemi.com/PowerSolutions/product.do?id=LM2575","LM2575")</f>
        <v>LM2575</v>
      </c>
      <c r="C218" t="str">
        <f>HYPERLINK("https://www.onsemi.com/pub/Collateral/LM2575-D.PDF","LM2575/D (492.0kB)")</f>
        <v>LM2575/D (492.0kB)</v>
      </c>
      <c r="D218" t="s">
        <v>481</v>
      </c>
      <c r="E218" s="2" t="s">
        <v>24</v>
      </c>
      <c r="F218" t="s">
        <v>28</v>
      </c>
      <c r="G218" s="2" t="s">
        <v>29</v>
      </c>
      <c r="H218" s="2"/>
      <c r="I218" s="2" t="s">
        <v>135</v>
      </c>
      <c r="J218" s="2" t="s">
        <v>179</v>
      </c>
      <c r="K218" s="2" t="s">
        <v>119</v>
      </c>
      <c r="L218" s="2" t="s">
        <v>482</v>
      </c>
      <c r="M218" s="2" t="s">
        <v>16</v>
      </c>
      <c r="N218" s="2" t="s">
        <v>434</v>
      </c>
      <c r="O218" s="2" t="s">
        <v>114</v>
      </c>
      <c r="P218" s="2" t="s">
        <v>483</v>
      </c>
    </row>
    <row r="219" spans="1:16" ht="63.75">
      <c r="A219" s="5" t="s">
        <v>682</v>
      </c>
      <c r="B219" t="str">
        <f>HYPERLINK("https://www.onsemi.com/PowerSolutions/product.do?id=LM2576","LM2576")</f>
        <v>LM2576</v>
      </c>
      <c r="C219" t="str">
        <f>HYPERLINK("https://www.onsemi.com/pub/Collateral/LM2576-D.PDF","LM2576/D (275.0kB)")</f>
        <v>LM2576/D (275.0kB)</v>
      </c>
      <c r="D219" t="s">
        <v>484</v>
      </c>
      <c r="E219" s="2" t="s">
        <v>24</v>
      </c>
      <c r="F219" t="s">
        <v>28</v>
      </c>
      <c r="G219" s="2" t="s">
        <v>29</v>
      </c>
      <c r="H219" s="2"/>
      <c r="I219" s="2" t="s">
        <v>135</v>
      </c>
      <c r="J219" s="2" t="s">
        <v>179</v>
      </c>
      <c r="K219" s="2" t="s">
        <v>119</v>
      </c>
      <c r="L219" s="2" t="s">
        <v>482</v>
      </c>
      <c r="M219" s="2" t="s">
        <v>346</v>
      </c>
      <c r="N219" s="2" t="s">
        <v>434</v>
      </c>
      <c r="O219" s="2" t="s">
        <v>114</v>
      </c>
      <c r="P219" s="2" t="s">
        <v>483</v>
      </c>
    </row>
    <row r="220" spans="1:16" ht="25.5">
      <c r="A220" s="5" t="s">
        <v>682</v>
      </c>
      <c r="B220" t="str">
        <f>HYPERLINK("https://www.onsemi.com/PowerSolutions/product.do?id=LM2594","LM2594")</f>
        <v>LM2594</v>
      </c>
      <c r="C220" t="str">
        <f>HYPERLINK("https://www.onsemi.com/pub/Collateral/LM2594-D.PDF","LM2594/D (555.0kB)")</f>
        <v>LM2594/D (555.0kB)</v>
      </c>
      <c r="D220" t="s">
        <v>485</v>
      </c>
      <c r="E220" s="2" t="s">
        <v>24</v>
      </c>
      <c r="F220" t="s">
        <v>28</v>
      </c>
      <c r="G220" s="2" t="s">
        <v>29</v>
      </c>
      <c r="H220" s="2"/>
      <c r="I220" s="2" t="s">
        <v>135</v>
      </c>
      <c r="J220" s="2" t="s">
        <v>45</v>
      </c>
      <c r="K220" s="2" t="s">
        <v>119</v>
      </c>
      <c r="L220" s="2" t="s">
        <v>486</v>
      </c>
      <c r="M220" s="2" t="s">
        <v>453</v>
      </c>
      <c r="N220" s="2" t="s">
        <v>434</v>
      </c>
      <c r="O220" s="2" t="s">
        <v>487</v>
      </c>
      <c r="P220" s="2" t="s">
        <v>21</v>
      </c>
    </row>
    <row r="221" spans="1:16" ht="38.25">
      <c r="A221" s="5" t="s">
        <v>682</v>
      </c>
      <c r="B221" t="str">
        <f>HYPERLINK("https://www.onsemi.com/PowerSolutions/product.do?id=LM2595","LM2595")</f>
        <v>LM2595</v>
      </c>
      <c r="C221" t="str">
        <f>HYPERLINK("https://www.onsemi.com/pub/Collateral/LM2595-D.PDF","LM2595/D (566.0kB)")</f>
        <v>LM2595/D (566.0kB)</v>
      </c>
      <c r="D221" t="s">
        <v>488</v>
      </c>
      <c r="E221" s="2" t="s">
        <v>24</v>
      </c>
      <c r="F221" t="s">
        <v>28</v>
      </c>
      <c r="G221" s="2" t="s">
        <v>29</v>
      </c>
      <c r="H221" s="2"/>
      <c r="I221" s="2" t="s">
        <v>135</v>
      </c>
      <c r="J221" s="2" t="s">
        <v>45</v>
      </c>
      <c r="K221" s="2" t="s">
        <v>119</v>
      </c>
      <c r="L221" s="2" t="s">
        <v>489</v>
      </c>
      <c r="M221" s="2" t="s">
        <v>16</v>
      </c>
      <c r="N221" s="2" t="s">
        <v>434</v>
      </c>
      <c r="O221" s="2" t="s">
        <v>487</v>
      </c>
      <c r="P221" s="2" t="s">
        <v>483</v>
      </c>
    </row>
    <row r="222" spans="1:16" ht="38.25">
      <c r="A222" s="5" t="s">
        <v>682</v>
      </c>
      <c r="B222" t="str">
        <f>HYPERLINK("https://www.onsemi.com/PowerSolutions/product.do?id=LM2596","LM2596")</f>
        <v>LM2596</v>
      </c>
      <c r="C222" t="str">
        <f>HYPERLINK("https://www.onsemi.com/pub/Collateral/LM2596-D.PDF","LM2596/D (449.0kB)")</f>
        <v>LM2596/D (449.0kB)</v>
      </c>
      <c r="D222" t="s">
        <v>490</v>
      </c>
      <c r="E222" s="2" t="s">
        <v>24</v>
      </c>
      <c r="F222" t="s">
        <v>28</v>
      </c>
      <c r="G222" s="2" t="s">
        <v>29</v>
      </c>
      <c r="H222" s="2"/>
      <c r="I222" s="2" t="s">
        <v>135</v>
      </c>
      <c r="J222" s="2" t="s">
        <v>45</v>
      </c>
      <c r="K222" s="2" t="s">
        <v>119</v>
      </c>
      <c r="L222" s="2" t="s">
        <v>489</v>
      </c>
      <c r="M222" s="2" t="s">
        <v>346</v>
      </c>
      <c r="N222" s="2" t="s">
        <v>434</v>
      </c>
      <c r="O222" s="2" t="s">
        <v>487</v>
      </c>
      <c r="P222" s="2" t="s">
        <v>483</v>
      </c>
    </row>
    <row r="223" spans="1:16" ht="25.5">
      <c r="A223" s="5" t="s">
        <v>682</v>
      </c>
      <c r="B223" t="str">
        <f>HYPERLINK("https://www.onsemi.com/PowerSolutions/product.do?id=LV52117QA","LV52117QA")</f>
        <v>LV52117QA</v>
      </c>
      <c r="C223" t="str">
        <f>HYPERLINK("https://www.onsemi.com/pub/Collateral/ENA2353-D.PDF","ENA2353/D (675kB)")</f>
        <v>ENA2353/D (675kB)</v>
      </c>
      <c r="D223" t="s">
        <v>491</v>
      </c>
      <c r="E223" s="2" t="s">
        <v>24</v>
      </c>
      <c r="F223" t="s">
        <v>28</v>
      </c>
      <c r="G223" s="2" t="s">
        <v>15</v>
      </c>
      <c r="H223" s="2"/>
      <c r="I223" s="2" t="s">
        <v>17</v>
      </c>
      <c r="J223" s="2" t="s">
        <v>492</v>
      </c>
      <c r="K223" s="2" t="s">
        <v>493</v>
      </c>
      <c r="L223" s="2" t="s">
        <v>494</v>
      </c>
      <c r="M223" s="2" t="s">
        <v>495</v>
      </c>
      <c r="N223" s="2" t="s">
        <v>423</v>
      </c>
      <c r="O223" s="2" t="s">
        <v>199</v>
      </c>
      <c r="P223" s="2" t="s">
        <v>496</v>
      </c>
    </row>
    <row r="224" spans="1:16" ht="25.5">
      <c r="A224" s="5" t="s">
        <v>682</v>
      </c>
      <c r="B224" t="str">
        <f>HYPERLINK("https://www.onsemi.com/PowerSolutions/product.do?id=LV52133A","LV52133A")</f>
        <v>LV52133A</v>
      </c>
      <c r="C224" t="str">
        <f>HYPERLINK("https://www.onsemi.com/pub/Collateral/LV52133A-D.PDF","LV52133A/D (848kB)")</f>
        <v>LV52133A/D (848kB)</v>
      </c>
      <c r="D224" t="s">
        <v>497</v>
      </c>
      <c r="E224" s="2" t="s">
        <v>24</v>
      </c>
      <c r="F224" t="s">
        <v>28</v>
      </c>
      <c r="G224" s="2" t="s">
        <v>15</v>
      </c>
      <c r="H224" s="2"/>
      <c r="I224" s="2" t="s">
        <v>17</v>
      </c>
      <c r="J224" s="2" t="s">
        <v>498</v>
      </c>
      <c r="K224" s="2" t="s">
        <v>499</v>
      </c>
      <c r="L224" s="2" t="s">
        <v>500</v>
      </c>
      <c r="M224" s="2" t="s">
        <v>501</v>
      </c>
      <c r="N224" s="2" t="s">
        <v>423</v>
      </c>
      <c r="O224" s="2" t="s">
        <v>502</v>
      </c>
      <c r="P224" s="2" t="s">
        <v>349</v>
      </c>
    </row>
    <row r="225" spans="1:16" ht="25.5">
      <c r="A225" s="5" t="s">
        <v>682</v>
      </c>
      <c r="B225" t="str">
        <f>HYPERLINK("https://www.onsemi.com/PowerSolutions/product.do?id=LV52134A","LV52134A")</f>
        <v>LV52134A</v>
      </c>
      <c r="C225" t="str">
        <f>HYPERLINK("https://www.onsemi.com/pub/Collateral/LV52134A-D.PDF","LV52134A/D (839kB)")</f>
        <v>LV52134A/D (839kB)</v>
      </c>
      <c r="D225" t="s">
        <v>497</v>
      </c>
      <c r="E225" s="2" t="s">
        <v>24</v>
      </c>
      <c r="F225" t="s">
        <v>28</v>
      </c>
      <c r="G225" s="2" t="s">
        <v>15</v>
      </c>
      <c r="H225" s="2"/>
      <c r="I225" s="2" t="s">
        <v>17</v>
      </c>
      <c r="J225" s="2" t="s">
        <v>498</v>
      </c>
      <c r="K225" s="2" t="s">
        <v>499</v>
      </c>
      <c r="L225" s="2" t="s">
        <v>500</v>
      </c>
      <c r="M225" s="2" t="s">
        <v>501</v>
      </c>
      <c r="N225" s="2" t="s">
        <v>423</v>
      </c>
      <c r="O225" s="2" t="s">
        <v>502</v>
      </c>
      <c r="P225" s="2" t="s">
        <v>349</v>
      </c>
    </row>
    <row r="226" spans="1:16" ht="25.5">
      <c r="A226" s="5" t="s">
        <v>682</v>
      </c>
      <c r="B226" t="str">
        <f>HYPERLINK("https://www.onsemi.com/PowerSolutions/product.do?id=LV56351HA","LV56351HA")</f>
        <v>LV56351HA</v>
      </c>
      <c r="C226" t="str">
        <f>HYPERLINK("https://www.onsemi.com/pub/Collateral/ENA2145-D.PDF","ENA2145/D (193.0kB)")</f>
        <v>ENA2145/D (193.0kB)</v>
      </c>
      <c r="D226" t="s">
        <v>503</v>
      </c>
      <c r="E226" s="2" t="s">
        <v>24</v>
      </c>
      <c r="F226" t="s">
        <v>28</v>
      </c>
      <c r="G226" s="2" t="s">
        <v>504</v>
      </c>
      <c r="H226" s="2"/>
      <c r="I226" s="2" t="s">
        <v>135</v>
      </c>
      <c r="J226" s="2" t="s">
        <v>128</v>
      </c>
      <c r="K226" s="2" t="s">
        <v>472</v>
      </c>
      <c r="L226" s="2" t="s">
        <v>56</v>
      </c>
      <c r="M226" s="2" t="s">
        <v>505</v>
      </c>
      <c r="N226" s="2" t="s">
        <v>506</v>
      </c>
      <c r="O226" s="2" t="s">
        <v>53</v>
      </c>
      <c r="P226" s="2" t="s">
        <v>507</v>
      </c>
    </row>
    <row r="227" spans="1:16" ht="25.5">
      <c r="A227" s="5" t="s">
        <v>682</v>
      </c>
      <c r="B227" t="str">
        <f>HYPERLINK("https://www.onsemi.com/PowerSolutions/product.do?id=LV5636VH","LV5636VH")</f>
        <v>LV5636VH</v>
      </c>
      <c r="C227" t="str">
        <f>HYPERLINK("https://www.onsemi.com/pub/Collateral/ENA1979-D.PDF","ENA1979/D (179.0kB)")</f>
        <v>ENA1979/D (179.0kB)</v>
      </c>
      <c r="D227" t="s">
        <v>508</v>
      </c>
      <c r="E227" s="2" t="s">
        <v>24</v>
      </c>
      <c r="F227" t="s">
        <v>28</v>
      </c>
      <c r="G227" s="2" t="s">
        <v>504</v>
      </c>
      <c r="H227" s="2"/>
      <c r="I227" s="2" t="s">
        <v>135</v>
      </c>
      <c r="J227" s="2" t="s">
        <v>128</v>
      </c>
      <c r="K227" s="2" t="s">
        <v>472</v>
      </c>
      <c r="L227" s="2" t="s">
        <v>509</v>
      </c>
      <c r="M227" s="2" t="s">
        <v>178</v>
      </c>
      <c r="N227" s="2" t="s">
        <v>506</v>
      </c>
      <c r="O227" s="2" t="s">
        <v>129</v>
      </c>
      <c r="P227" s="2" t="s">
        <v>507</v>
      </c>
    </row>
    <row r="228" spans="1:16" ht="25.5">
      <c r="A228" s="5" t="s">
        <v>682</v>
      </c>
      <c r="B228" t="str">
        <f>HYPERLINK("https://www.onsemi.com/PowerSolutions/product.do?id=LV5980MC","LV5980MC")</f>
        <v>LV5980MC</v>
      </c>
      <c r="C228" t="str">
        <f>HYPERLINK("https://www.onsemi.com/pub/Collateral/ENA2104-D.PDF","ENA2104/D (266.0kB)")</f>
        <v>ENA2104/D (266.0kB)</v>
      </c>
      <c r="D228" t="s">
        <v>510</v>
      </c>
      <c r="E228" s="2" t="s">
        <v>24</v>
      </c>
      <c r="F228" t="s">
        <v>28</v>
      </c>
      <c r="G228" s="2" t="s">
        <v>29</v>
      </c>
      <c r="H228" s="2"/>
      <c r="I228" s="2" t="s">
        <v>17</v>
      </c>
      <c r="J228" s="2" t="s">
        <v>45</v>
      </c>
      <c r="K228" s="2" t="s">
        <v>472</v>
      </c>
      <c r="L228" s="2" t="s">
        <v>511</v>
      </c>
      <c r="M228" s="2" t="s">
        <v>346</v>
      </c>
      <c r="N228" s="2" t="s">
        <v>347</v>
      </c>
      <c r="O228" s="2" t="s">
        <v>473</v>
      </c>
      <c r="P228" s="2" t="s">
        <v>21</v>
      </c>
    </row>
    <row r="229" spans="1:16" ht="25.5">
      <c r="A229" s="5" t="s">
        <v>320</v>
      </c>
      <c r="B229" t="str">
        <f>HYPERLINK("https://www.onsemi.com/PowerSolutions/product.do?id=LV5980MD","LV5980MD")</f>
        <v>LV5980MD</v>
      </c>
      <c r="C229" t="str">
        <f>HYPERLINK("https://www.onsemi.com/pub/Collateral/ENA2233-D.PDF","ENA2233/D (938kB)")</f>
        <v>ENA2233/D (938kB)</v>
      </c>
      <c r="D229" t="s">
        <v>510</v>
      </c>
      <c r="E229" s="2" t="s">
        <v>24</v>
      </c>
      <c r="F229" t="s">
        <v>28</v>
      </c>
      <c r="G229" s="2" t="s">
        <v>29</v>
      </c>
      <c r="H229" s="2"/>
      <c r="I229" s="2" t="s">
        <v>17</v>
      </c>
      <c r="J229" s="2" t="s">
        <v>45</v>
      </c>
      <c r="K229" s="2" t="s">
        <v>472</v>
      </c>
      <c r="L229" s="2" t="s">
        <v>512</v>
      </c>
      <c r="M229" s="2" t="s">
        <v>346</v>
      </c>
      <c r="N229" s="2" t="s">
        <v>347</v>
      </c>
      <c r="O229" s="2" t="s">
        <v>473</v>
      </c>
      <c r="P229" s="2" t="s">
        <v>513</v>
      </c>
    </row>
    <row r="230" spans="1:16" ht="38.25">
      <c r="A230" s="5" t="s">
        <v>683</v>
      </c>
      <c r="B230" t="str">
        <f>HYPERLINK("https://www.onsemi.com/PowerSolutions/product.do?id=MC33063A","MC33063A")</f>
        <v>MC33063A</v>
      </c>
      <c r="C230" t="str">
        <f>HYPERLINK("https://www.onsemi.com/pub/Collateral/MC34063A-D.PDF","MC34063A/D (1266kB)")</f>
        <v>MC34063A/D (1266kB)</v>
      </c>
      <c r="D230" t="s">
        <v>514</v>
      </c>
      <c r="E230" s="2" t="s">
        <v>24</v>
      </c>
      <c r="F230" t="s">
        <v>28</v>
      </c>
      <c r="G230" s="2" t="s">
        <v>515</v>
      </c>
      <c r="H230" s="2"/>
      <c r="I230" s="2" t="s">
        <v>44</v>
      </c>
      <c r="J230" s="2" t="s">
        <v>346</v>
      </c>
      <c r="K230" s="2" t="s">
        <v>119</v>
      </c>
      <c r="L230" s="2" t="s">
        <v>516</v>
      </c>
      <c r="M230" s="2" t="s">
        <v>355</v>
      </c>
      <c r="N230" s="2" t="s">
        <v>347</v>
      </c>
      <c r="O230" s="2" t="s">
        <v>96</v>
      </c>
      <c r="P230" s="2" t="s">
        <v>517</v>
      </c>
    </row>
    <row r="231" spans="1:16" ht="25.5">
      <c r="A231" s="5" t="s">
        <v>320</v>
      </c>
      <c r="B231" t="str">
        <f>HYPERLINK("https://www.onsemi.com/PowerSolutions/product.do?id=MC33163","MC33163")</f>
        <v>MC33163</v>
      </c>
      <c r="C231" t="str">
        <f>HYPERLINK("https://www.onsemi.com/pub/Collateral/MC34163-D.PDF","MC34163/D (263kB)")</f>
        <v>MC34163/D (263kB)</v>
      </c>
      <c r="D231" t="s">
        <v>518</v>
      </c>
      <c r="E231" s="2" t="s">
        <v>24</v>
      </c>
      <c r="F231" t="s">
        <v>28</v>
      </c>
      <c r="G231" s="2" t="s">
        <v>420</v>
      </c>
      <c r="H231" s="2"/>
      <c r="I231" s="2" t="s">
        <v>135</v>
      </c>
      <c r="J231" s="2" t="s">
        <v>344</v>
      </c>
      <c r="K231" s="2" t="s">
        <v>119</v>
      </c>
      <c r="L231" s="2" t="s">
        <v>516</v>
      </c>
      <c r="M231" s="2" t="s">
        <v>418</v>
      </c>
      <c r="N231" t="s">
        <v>23</v>
      </c>
      <c r="O231" t="s">
        <v>23</v>
      </c>
      <c r="P231" s="2" t="s">
        <v>520</v>
      </c>
    </row>
    <row r="232" spans="1:16" ht="38.25">
      <c r="A232" s="5" t="s">
        <v>320</v>
      </c>
      <c r="B232" t="str">
        <f>HYPERLINK("https://www.onsemi.com/PowerSolutions/product.do?id=MC33166","MC33166")</f>
        <v>MC33166</v>
      </c>
      <c r="C232" t="str">
        <f>HYPERLINK("https://www.onsemi.com/pub/Collateral/MC34166-D.PDF","MC34166/D (296kB)")</f>
        <v>MC34166/D (296kB)</v>
      </c>
      <c r="D232" t="s">
        <v>521</v>
      </c>
      <c r="E232" s="2" t="s">
        <v>24</v>
      </c>
      <c r="F232" t="s">
        <v>28</v>
      </c>
      <c r="G232" s="2" t="s">
        <v>420</v>
      </c>
      <c r="H232" s="2"/>
      <c r="I232" s="2" t="s">
        <v>135</v>
      </c>
      <c r="J232" s="2" t="s">
        <v>522</v>
      </c>
      <c r="K232" s="2" t="s">
        <v>119</v>
      </c>
      <c r="L232" s="2" t="s">
        <v>523</v>
      </c>
      <c r="M232" s="2" t="s">
        <v>346</v>
      </c>
      <c r="N232" t="s">
        <v>23</v>
      </c>
      <c r="O232" t="s">
        <v>23</v>
      </c>
      <c r="P232" s="2" t="s">
        <v>483</v>
      </c>
    </row>
    <row r="233" spans="1:16" ht="38.25">
      <c r="A233" s="5" t="s">
        <v>684</v>
      </c>
      <c r="B233" t="str">
        <f>HYPERLINK("https://www.onsemi.com/PowerSolutions/product.do?id=MC33167","MC33167")</f>
        <v>MC33167</v>
      </c>
      <c r="C233" t="str">
        <f>HYPERLINK("https://www.onsemi.com/pub/Collateral/MC34167-D.PDF","MC34167/D (296kB)")</f>
        <v>MC34167/D (296kB)</v>
      </c>
      <c r="D233" t="s">
        <v>524</v>
      </c>
      <c r="E233" s="2" t="s">
        <v>24</v>
      </c>
      <c r="F233" t="s">
        <v>28</v>
      </c>
      <c r="G233" s="2" t="s">
        <v>29</v>
      </c>
      <c r="H233" s="2"/>
      <c r="I233" s="2" t="s">
        <v>135</v>
      </c>
      <c r="J233" s="2" t="s">
        <v>522</v>
      </c>
      <c r="K233" s="2" t="s">
        <v>119</v>
      </c>
      <c r="L233" s="2" t="s">
        <v>525</v>
      </c>
      <c r="M233" s="2" t="s">
        <v>241</v>
      </c>
      <c r="N233" s="2" t="s">
        <v>347</v>
      </c>
      <c r="O233" s="2" t="s">
        <v>526</v>
      </c>
      <c r="P233" s="2" t="s">
        <v>483</v>
      </c>
    </row>
    <row r="234" spans="1:16" ht="38.25">
      <c r="A234" s="5" t="s">
        <v>684</v>
      </c>
      <c r="B234" t="str">
        <f>HYPERLINK("https://www.onsemi.com/PowerSolutions/product.do?id=MC34063A","MC34063A")</f>
        <v>MC34063A</v>
      </c>
      <c r="C234" t="str">
        <f>HYPERLINK("https://www.onsemi.com/pub/Collateral/MC34063A-D.PDF","MC34063A/D (1266kB)")</f>
        <v>MC34063A/D (1266kB)</v>
      </c>
      <c r="D234" t="s">
        <v>514</v>
      </c>
      <c r="E234" s="2" t="s">
        <v>24</v>
      </c>
      <c r="F234" t="s">
        <v>28</v>
      </c>
      <c r="G234" s="2" t="s">
        <v>515</v>
      </c>
      <c r="H234" s="2"/>
      <c r="I234" s="2" t="s">
        <v>135</v>
      </c>
      <c r="J234" s="2" t="s">
        <v>346</v>
      </c>
      <c r="K234" s="2" t="s">
        <v>119</v>
      </c>
      <c r="L234" s="2" t="s">
        <v>516</v>
      </c>
      <c r="M234" s="2" t="s">
        <v>355</v>
      </c>
      <c r="N234" t="s">
        <v>23</v>
      </c>
      <c r="O234" s="2" t="s">
        <v>96</v>
      </c>
      <c r="P234" s="2" t="s">
        <v>517</v>
      </c>
    </row>
    <row r="235" spans="1:16" ht="38.25">
      <c r="A235" s="5" t="s">
        <v>685</v>
      </c>
      <c r="B235" t="str">
        <f>HYPERLINK("https://www.onsemi.com/PowerSolutions/product.do?id=MC34167","MC34167")</f>
        <v>MC34167</v>
      </c>
      <c r="C235" t="str">
        <f>HYPERLINK("https://www.onsemi.com/pub/Collateral/MC34167-D.PDF","MC34167/D (296kB)")</f>
        <v>MC34167/D (296kB)</v>
      </c>
      <c r="D235" t="s">
        <v>524</v>
      </c>
      <c r="E235" s="2" t="s">
        <v>24</v>
      </c>
      <c r="F235" t="s">
        <v>28</v>
      </c>
      <c r="G235" s="2" t="s">
        <v>29</v>
      </c>
      <c r="H235" s="2"/>
      <c r="I235" s="2" t="s">
        <v>135</v>
      </c>
      <c r="J235" s="2" t="s">
        <v>522</v>
      </c>
      <c r="K235" s="2" t="s">
        <v>119</v>
      </c>
      <c r="L235" s="2" t="s">
        <v>525</v>
      </c>
      <c r="M235" s="2" t="s">
        <v>241</v>
      </c>
      <c r="N235" s="2" t="s">
        <v>347</v>
      </c>
      <c r="O235" s="2" t="s">
        <v>526</v>
      </c>
      <c r="P235" s="2" t="s">
        <v>483</v>
      </c>
    </row>
    <row r="236" spans="1:16" ht="38.25">
      <c r="A236" s="5" t="s">
        <v>685</v>
      </c>
      <c r="B236" t="str">
        <f>HYPERLINK("https://www.onsemi.com/PowerSolutions/product.do?id=NCP1030","NCP1030")</f>
        <v>NCP1030</v>
      </c>
      <c r="C236" t="str">
        <f>HYPERLINK("https://www.onsemi.com/pub/Collateral/NCP1030-D.PDF","NCP1030/D (244kB)")</f>
        <v>NCP1030/D (244kB)</v>
      </c>
      <c r="D236" t="s">
        <v>527</v>
      </c>
      <c r="E236" s="2" t="s">
        <v>24</v>
      </c>
      <c r="F236" t="s">
        <v>28</v>
      </c>
      <c r="G236" s="2" t="s">
        <v>358</v>
      </c>
      <c r="H236" s="2"/>
      <c r="I236" s="2" t="s">
        <v>135</v>
      </c>
      <c r="J236" s="2" t="s">
        <v>128</v>
      </c>
      <c r="K236" s="2" t="s">
        <v>47</v>
      </c>
      <c r="L236" t="s">
        <v>23</v>
      </c>
      <c r="M236" s="2" t="s">
        <v>453</v>
      </c>
      <c r="N236" s="2" t="s">
        <v>434</v>
      </c>
      <c r="O236" s="2" t="s">
        <v>206</v>
      </c>
      <c r="P236" s="2" t="s">
        <v>528</v>
      </c>
    </row>
    <row r="237" spans="1:16" ht="38.25">
      <c r="A237" s="5" t="s">
        <v>686</v>
      </c>
      <c r="B237" t="str">
        <f>HYPERLINK("https://www.onsemi.com/PowerSolutions/product.do?id=NCP1031","NCP1031")</f>
        <v>NCP1031</v>
      </c>
      <c r="C237" t="str">
        <f>HYPERLINK("https://www.onsemi.com/pub/Collateral/NCP1030-D.PDF","NCP1030/D (244kB)")</f>
        <v>NCP1030/D (244kB)</v>
      </c>
      <c r="D237" t="s">
        <v>527</v>
      </c>
      <c r="E237" s="2" t="s">
        <v>24</v>
      </c>
      <c r="F237" t="s">
        <v>28</v>
      </c>
      <c r="G237" s="2" t="s">
        <v>358</v>
      </c>
      <c r="H237" s="2"/>
      <c r="I237" s="2" t="s">
        <v>135</v>
      </c>
      <c r="J237" s="2" t="s">
        <v>128</v>
      </c>
      <c r="K237" s="2" t="s">
        <v>47</v>
      </c>
      <c r="L237" s="2" t="s">
        <v>529</v>
      </c>
      <c r="M237" s="2" t="s">
        <v>16</v>
      </c>
      <c r="N237" s="2" t="s">
        <v>434</v>
      </c>
      <c r="O237" s="2" t="s">
        <v>39</v>
      </c>
      <c r="P237" s="2" t="s">
        <v>530</v>
      </c>
    </row>
    <row r="238" spans="1:16" ht="25.5">
      <c r="A238" s="5" t="s">
        <v>686</v>
      </c>
      <c r="B238" t="str">
        <f>HYPERLINK("https://www.onsemi.com/PowerSolutions/product.do?id=NCP1032","NCP1032")</f>
        <v>NCP1032</v>
      </c>
      <c r="C238" t="str">
        <f>HYPERLINK("https://www.onsemi.com/pub/Collateral/NCP1032-D.PDF","NCP1032/D (625kB)")</f>
        <v>NCP1032/D (625kB)</v>
      </c>
      <c r="D238" t="s">
        <v>531</v>
      </c>
      <c r="E238" s="2" t="s">
        <v>24</v>
      </c>
      <c r="F238" t="s">
        <v>28</v>
      </c>
      <c r="G238" s="2" t="s">
        <v>55</v>
      </c>
      <c r="H238" s="2"/>
      <c r="I238" s="2" t="s">
        <v>135</v>
      </c>
      <c r="J238" s="2" t="s">
        <v>128</v>
      </c>
      <c r="K238" s="2" t="s">
        <v>47</v>
      </c>
      <c r="L238" s="2" t="s">
        <v>529</v>
      </c>
      <c r="M238" t="s">
        <v>23</v>
      </c>
      <c r="N238" s="2" t="s">
        <v>347</v>
      </c>
      <c r="O238" s="2" t="s">
        <v>129</v>
      </c>
      <c r="P238" s="2" t="s">
        <v>532</v>
      </c>
    </row>
    <row r="239" spans="1:16" ht="25.5">
      <c r="A239" s="5" t="s">
        <v>685</v>
      </c>
      <c r="B239" t="str">
        <f>HYPERLINK("https://www.onsemi.com/PowerSolutions/product.do?id=NCP1080","NCP1080")</f>
        <v>NCP1080</v>
      </c>
      <c r="C239" t="str">
        <f>HYPERLINK("https://www.onsemi.com/pub/Collateral/NCP1080-D.PDF","NCP1080/D (221.0kB)")</f>
        <v>NCP1080/D (221.0kB)</v>
      </c>
      <c r="D239" t="s">
        <v>138</v>
      </c>
      <c r="E239" s="2" t="s">
        <v>24</v>
      </c>
      <c r="F239" t="s">
        <v>28</v>
      </c>
      <c r="G239" s="2" t="s">
        <v>533</v>
      </c>
      <c r="H239" s="2"/>
      <c r="I239" s="2" t="s">
        <v>17</v>
      </c>
      <c r="J239" s="2" t="s">
        <v>139</v>
      </c>
      <c r="K239" s="2" t="s">
        <v>140</v>
      </c>
      <c r="L239" s="2" t="s">
        <v>351</v>
      </c>
      <c r="M239" s="2" t="s">
        <v>351</v>
      </c>
      <c r="N239" s="2" t="s">
        <v>351</v>
      </c>
      <c r="O239" s="2" t="s">
        <v>141</v>
      </c>
      <c r="P239" s="2" t="s">
        <v>142</v>
      </c>
    </row>
    <row r="240" spans="1:16" ht="25.5">
      <c r="A240" s="5" t="s">
        <v>685</v>
      </c>
      <c r="B240" t="str">
        <f>HYPERLINK("https://www.onsemi.com/PowerSolutions/product.do?id=NCP1081","NCP1081")</f>
        <v>NCP1081</v>
      </c>
      <c r="C240" t="str">
        <f>HYPERLINK("https://www.onsemi.com/pub/Collateral/NCP1081-D.PDF","NCP1081/D (257.0kB)")</f>
        <v>NCP1081/D (257.0kB)</v>
      </c>
      <c r="D240" t="s">
        <v>143</v>
      </c>
      <c r="E240" s="2" t="s">
        <v>24</v>
      </c>
      <c r="F240" t="s">
        <v>28</v>
      </c>
      <c r="G240" s="2" t="s">
        <v>533</v>
      </c>
      <c r="H240" s="2"/>
      <c r="I240" s="2" t="s">
        <v>17</v>
      </c>
      <c r="J240" s="2" t="s">
        <v>139</v>
      </c>
      <c r="K240" s="2" t="s">
        <v>140</v>
      </c>
      <c r="L240" s="2" t="s">
        <v>351</v>
      </c>
      <c r="M240" s="2" t="s">
        <v>351</v>
      </c>
      <c r="N240" s="2" t="s">
        <v>351</v>
      </c>
      <c r="O240" s="2" t="s">
        <v>141</v>
      </c>
      <c r="P240" s="2" t="s">
        <v>142</v>
      </c>
    </row>
    <row r="241" spans="1:16" ht="25.5">
      <c r="A241" s="5" t="s">
        <v>685</v>
      </c>
      <c r="B241" t="str">
        <f>HYPERLINK("https://www.onsemi.com/PowerSolutions/product.do?id=NCP1082","NCP1082")</f>
        <v>NCP1082</v>
      </c>
      <c r="C241" t="str">
        <f>HYPERLINK("https://www.onsemi.com/pub/Collateral/NCP1082-D.PDF","NCP1082/D (214.0kB)")</f>
        <v>NCP1082/D (214.0kB)</v>
      </c>
      <c r="D241" t="s">
        <v>144</v>
      </c>
      <c r="E241" s="2" t="s">
        <v>24</v>
      </c>
      <c r="F241" t="s">
        <v>28</v>
      </c>
      <c r="G241" s="2" t="s">
        <v>533</v>
      </c>
      <c r="H241" s="2"/>
      <c r="I241" s="2" t="s">
        <v>17</v>
      </c>
      <c r="J241" s="2" t="s">
        <v>139</v>
      </c>
      <c r="K241" s="2" t="s">
        <v>140</v>
      </c>
      <c r="L241" s="2" t="s">
        <v>351</v>
      </c>
      <c r="M241" s="2" t="s">
        <v>351</v>
      </c>
      <c r="N241" s="2" t="s">
        <v>351</v>
      </c>
      <c r="O241" s="2" t="s">
        <v>141</v>
      </c>
      <c r="P241" s="2" t="s">
        <v>142</v>
      </c>
    </row>
    <row r="242" spans="1:16" ht="25.5">
      <c r="A242" s="5" t="s">
        <v>320</v>
      </c>
      <c r="B242" t="str">
        <f>HYPERLINK("https://www.onsemi.com/PowerSolutions/product.do?id=NCP1083","NCP1083")</f>
        <v>NCP1083</v>
      </c>
      <c r="C242" t="str">
        <f>HYPERLINK("https://www.onsemi.com/pub/Collateral/NCP1083-D.PDF","NCP1083/D (257.0kB)")</f>
        <v>NCP1083/D (257.0kB)</v>
      </c>
      <c r="D242" t="s">
        <v>145</v>
      </c>
      <c r="E242" s="2" t="s">
        <v>24</v>
      </c>
      <c r="F242" t="s">
        <v>28</v>
      </c>
      <c r="G242" s="2" t="s">
        <v>533</v>
      </c>
      <c r="H242" s="2"/>
      <c r="I242" s="2" t="s">
        <v>17</v>
      </c>
      <c r="J242" s="2" t="s">
        <v>139</v>
      </c>
      <c r="K242" s="2" t="s">
        <v>140</v>
      </c>
      <c r="L242" s="2" t="s">
        <v>351</v>
      </c>
      <c r="M242" s="2" t="s">
        <v>351</v>
      </c>
      <c r="N242" s="2" t="s">
        <v>351</v>
      </c>
      <c r="O242" s="2" t="s">
        <v>141</v>
      </c>
      <c r="P242" s="2" t="s">
        <v>142</v>
      </c>
    </row>
    <row r="243" spans="1:16" ht="25.5">
      <c r="A243" s="5" t="s">
        <v>685</v>
      </c>
      <c r="B243" t="str">
        <f>HYPERLINK("https://www.onsemi.com/PowerSolutions/product.do?id=NCP1090","NCP1090")</f>
        <v>NCP1090</v>
      </c>
      <c r="C243" t="str">
        <f>HYPERLINK("https://www.onsemi.com/pub/Collateral/NCP1090-D.PDF","NCP1090/D (170.0kB)")</f>
        <v>NCP1090/D (170.0kB)</v>
      </c>
      <c r="D243" t="s">
        <v>146</v>
      </c>
      <c r="E243" s="2" t="s">
        <v>24</v>
      </c>
      <c r="F243" t="s">
        <v>28</v>
      </c>
      <c r="G243" s="2" t="s">
        <v>533</v>
      </c>
      <c r="H243" s="2"/>
      <c r="I243" s="2" t="s">
        <v>17</v>
      </c>
      <c r="J243" s="2" t="s">
        <v>147</v>
      </c>
      <c r="K243" s="2" t="s">
        <v>140</v>
      </c>
      <c r="L243" s="2" t="s">
        <v>351</v>
      </c>
      <c r="M243" s="2" t="s">
        <v>453</v>
      </c>
      <c r="N243" s="2" t="s">
        <v>351</v>
      </c>
      <c r="O243" s="2" t="s">
        <v>351</v>
      </c>
      <c r="P243" s="2" t="s">
        <v>148</v>
      </c>
    </row>
    <row r="244" spans="1:16" ht="25.5">
      <c r="A244" s="5" t="s">
        <v>320</v>
      </c>
      <c r="B244" t="str">
        <f>HYPERLINK("https://www.onsemi.com/PowerSolutions/product.do?id=NCP1091","NCP1091")</f>
        <v>NCP1091</v>
      </c>
      <c r="C244" t="str">
        <f>HYPERLINK("https://www.onsemi.com/pub/Collateral/NCP1090-D.PDF","NCP1090/D (170.0kB)")</f>
        <v>NCP1090/D (170.0kB)</v>
      </c>
      <c r="D244" t="s">
        <v>149</v>
      </c>
      <c r="E244" s="2" t="s">
        <v>24</v>
      </c>
      <c r="F244" t="s">
        <v>28</v>
      </c>
      <c r="G244" s="2" t="s">
        <v>533</v>
      </c>
      <c r="H244" s="2"/>
      <c r="I244" s="2" t="s">
        <v>17</v>
      </c>
      <c r="J244" s="2" t="s">
        <v>147</v>
      </c>
      <c r="K244" s="2" t="s">
        <v>140</v>
      </c>
      <c r="L244" s="2" t="s">
        <v>351</v>
      </c>
      <c r="M244" s="2" t="s">
        <v>453</v>
      </c>
      <c r="N244" s="2" t="s">
        <v>351</v>
      </c>
      <c r="O244" s="2" t="s">
        <v>351</v>
      </c>
      <c r="P244" s="2" t="s">
        <v>148</v>
      </c>
    </row>
    <row r="245" spans="1:16" ht="25.5">
      <c r="A245" s="5" t="s">
        <v>685</v>
      </c>
      <c r="B245" t="str">
        <f>HYPERLINK("https://www.onsemi.com/PowerSolutions/product.do?id=NCP1092","NCP1092")</f>
        <v>NCP1092</v>
      </c>
      <c r="C245" t="str">
        <f>HYPERLINK("https://www.onsemi.com/pub/Collateral/NCP1090-D.PDF","NCP1090/D (170.0kB)")</f>
        <v>NCP1090/D (170.0kB)</v>
      </c>
      <c r="D245" t="s">
        <v>150</v>
      </c>
      <c r="E245" s="2" t="s">
        <v>24</v>
      </c>
      <c r="F245" t="s">
        <v>28</v>
      </c>
      <c r="G245" s="2" t="s">
        <v>533</v>
      </c>
      <c r="H245" s="2"/>
      <c r="I245" s="2" t="s">
        <v>17</v>
      </c>
      <c r="J245" s="2" t="s">
        <v>147</v>
      </c>
      <c r="K245" s="2" t="s">
        <v>140</v>
      </c>
      <c r="L245" s="2" t="s">
        <v>351</v>
      </c>
      <c r="M245" s="2" t="s">
        <v>453</v>
      </c>
      <c r="N245" s="2" t="s">
        <v>351</v>
      </c>
      <c r="O245" s="2" t="s">
        <v>351</v>
      </c>
      <c r="P245" s="2" t="s">
        <v>148</v>
      </c>
    </row>
    <row r="246" spans="1:16" ht="25.5">
      <c r="A246" s="5" t="s">
        <v>320</v>
      </c>
      <c r="B246" t="str">
        <f>HYPERLINK("https://www.onsemi.com/PowerSolutions/product.do?id=NCP1093","NCP1093")</f>
        <v>NCP1093</v>
      </c>
      <c r="C246" t="str">
        <f>HYPERLINK("https://www.onsemi.com/pub/Collateral/NCP1093-D.PDF","NCP1093/D (121kB)")</f>
        <v>NCP1093/D (121kB)</v>
      </c>
      <c r="D246" t="s">
        <v>151</v>
      </c>
      <c r="E246" s="2" t="s">
        <v>24</v>
      </c>
      <c r="F246" t="s">
        <v>28</v>
      </c>
      <c r="G246" s="2" t="s">
        <v>533</v>
      </c>
      <c r="H246" s="2"/>
      <c r="I246" s="2" t="s">
        <v>17</v>
      </c>
      <c r="J246" s="2" t="s">
        <v>147</v>
      </c>
      <c r="K246" s="2" t="s">
        <v>526</v>
      </c>
      <c r="L246" s="2" t="s">
        <v>351</v>
      </c>
      <c r="M246" s="2" t="s">
        <v>534</v>
      </c>
      <c r="N246" s="2" t="s">
        <v>351</v>
      </c>
      <c r="O246" s="2" t="s">
        <v>351</v>
      </c>
      <c r="P246" s="2" t="s">
        <v>133</v>
      </c>
    </row>
    <row r="247" spans="1:16" ht="25.5">
      <c r="A247" s="5" t="s">
        <v>685</v>
      </c>
      <c r="B247" t="str">
        <f>HYPERLINK("https://www.onsemi.com/PowerSolutions/product.do?id=NCP1094","NCP1094")</f>
        <v>NCP1094</v>
      </c>
      <c r="C247" t="str">
        <f>HYPERLINK("https://www.onsemi.com/pub/Collateral/NCP1093-D.PDF","NCP1093/D (121kB)")</f>
        <v>NCP1093/D (121kB)</v>
      </c>
      <c r="D247" t="s">
        <v>151</v>
      </c>
      <c r="E247" s="2" t="s">
        <v>24</v>
      </c>
      <c r="F247" t="s">
        <v>28</v>
      </c>
      <c r="G247" s="2" t="s">
        <v>533</v>
      </c>
      <c r="H247" s="2"/>
      <c r="I247" s="2" t="s">
        <v>17</v>
      </c>
      <c r="J247" s="2" t="s">
        <v>147</v>
      </c>
      <c r="K247" s="2" t="s">
        <v>526</v>
      </c>
      <c r="L247" s="2" t="s">
        <v>351</v>
      </c>
      <c r="M247" s="2" t="s">
        <v>534</v>
      </c>
      <c r="N247" s="2" t="s">
        <v>351</v>
      </c>
      <c r="O247" s="2" t="s">
        <v>351</v>
      </c>
      <c r="P247" s="2" t="s">
        <v>133</v>
      </c>
    </row>
    <row r="248" spans="1:16" ht="25.5">
      <c r="A248" s="5" t="s">
        <v>320</v>
      </c>
      <c r="B248" t="str">
        <f>HYPERLINK("https://www.onsemi.com/PowerSolutions/product.do?id=NCP1095","NCP1095")</f>
        <v>NCP1095</v>
      </c>
      <c r="C248" t="str">
        <f>HYPERLINK("https://www.onsemi.com/pub/Collateral/NCP1095-D.PDF","NCP1095/D (325kB)")</f>
        <v>NCP1095/D (325kB)</v>
      </c>
      <c r="D248" t="s">
        <v>152</v>
      </c>
      <c r="E248" s="2" t="s">
        <v>24</v>
      </c>
      <c r="F248" t="s">
        <v>28</v>
      </c>
      <c r="G248" t="s">
        <v>23</v>
      </c>
      <c r="I248" t="s">
        <v>23</v>
      </c>
      <c r="J248" t="s">
        <v>23</v>
      </c>
      <c r="K248" t="s">
        <v>23</v>
      </c>
      <c r="L248" t="s">
        <v>23</v>
      </c>
      <c r="M248" t="s">
        <v>23</v>
      </c>
      <c r="N248" t="s">
        <v>23</v>
      </c>
      <c r="O248" t="s">
        <v>23</v>
      </c>
      <c r="P248" s="2" t="s">
        <v>73</v>
      </c>
    </row>
    <row r="249" spans="1:16" ht="25.5">
      <c r="A249" s="5" t="s">
        <v>685</v>
      </c>
      <c r="B249" t="str">
        <f>HYPERLINK("https://www.onsemi.com/PowerSolutions/product.do?id=NCP1096","NCP1096")</f>
        <v>NCP1096</v>
      </c>
      <c r="C249" t="str">
        <f>HYPERLINK("https://www.onsemi.com/pub/Collateral/NCP1096-D.PDF","NCP1096/D (330kB)")</f>
        <v>NCP1096/D (330kB)</v>
      </c>
      <c r="D249" t="s">
        <v>154</v>
      </c>
      <c r="E249" s="2" t="s">
        <v>24</v>
      </c>
      <c r="F249" t="s">
        <v>28</v>
      </c>
      <c r="G249" t="s">
        <v>23</v>
      </c>
      <c r="I249" t="s">
        <v>23</v>
      </c>
      <c r="J249" t="s">
        <v>23</v>
      </c>
      <c r="K249" t="s">
        <v>23</v>
      </c>
      <c r="L249" t="s">
        <v>23</v>
      </c>
      <c r="M249" t="s">
        <v>23</v>
      </c>
      <c r="N249" t="s">
        <v>23</v>
      </c>
      <c r="O249" t="s">
        <v>23</v>
      </c>
      <c r="P249" s="2" t="s">
        <v>155</v>
      </c>
    </row>
    <row r="250" spans="1:16" ht="25.5">
      <c r="A250" s="5" t="s">
        <v>320</v>
      </c>
      <c r="B250" t="str">
        <f>HYPERLINK("https://www.onsemi.com/PowerSolutions/product.do?id=NCP1403","NCP1403")</f>
        <v>NCP1403</v>
      </c>
      <c r="C250" t="str">
        <f>HYPERLINK("https://www.onsemi.com/pub/Collateral/NCP1403-D.PDF","NCP1403/D (267kB)")</f>
        <v>NCP1403/D (267kB)</v>
      </c>
      <c r="D250" t="s">
        <v>535</v>
      </c>
      <c r="E250" s="2" t="s">
        <v>24</v>
      </c>
      <c r="F250" t="s">
        <v>28</v>
      </c>
      <c r="G250" s="2" t="s">
        <v>15</v>
      </c>
      <c r="H250" s="2"/>
      <c r="I250" t="s">
        <v>23</v>
      </c>
      <c r="J250" s="2" t="s">
        <v>34</v>
      </c>
      <c r="K250" s="2" t="s">
        <v>223</v>
      </c>
      <c r="L250" s="2" t="s">
        <v>536</v>
      </c>
      <c r="M250" s="2" t="s">
        <v>501</v>
      </c>
      <c r="N250" s="2" t="s">
        <v>526</v>
      </c>
      <c r="O250" t="s">
        <v>23</v>
      </c>
      <c r="P250" s="2" t="s">
        <v>537</v>
      </c>
    </row>
    <row r="251" spans="1:16" ht="51">
      <c r="A251" s="5" t="s">
        <v>685</v>
      </c>
      <c r="B251" t="str">
        <f>HYPERLINK("https://www.onsemi.com/PowerSolutions/product.do?id=NCP1406","NCP1406")</f>
        <v>NCP1406</v>
      </c>
      <c r="C251" t="str">
        <f>HYPERLINK("https://www.onsemi.com/pub/Collateral/NCP1406-D.PDF","NCP1406/D (223kB)")</f>
        <v>NCP1406/D (223kB)</v>
      </c>
      <c r="D251" t="s">
        <v>538</v>
      </c>
      <c r="E251" s="2" t="s">
        <v>49</v>
      </c>
      <c r="F251" t="s">
        <v>28</v>
      </c>
      <c r="G251" s="2" t="s">
        <v>15</v>
      </c>
      <c r="H251" s="2"/>
      <c r="I251" s="2" t="s">
        <v>17</v>
      </c>
      <c r="J251" s="2" t="s">
        <v>539</v>
      </c>
      <c r="K251" s="2" t="s">
        <v>223</v>
      </c>
      <c r="L251" s="2" t="s">
        <v>540</v>
      </c>
      <c r="M251" s="2" t="s">
        <v>541</v>
      </c>
      <c r="N251" s="2" t="s">
        <v>434</v>
      </c>
      <c r="O251" s="2" t="s">
        <v>39</v>
      </c>
      <c r="P251" s="2" t="s">
        <v>537</v>
      </c>
    </row>
    <row r="252" spans="1:16" ht="25.5">
      <c r="A252" s="5" t="s">
        <v>685</v>
      </c>
      <c r="B252" t="str">
        <f>HYPERLINK("https://www.onsemi.com/PowerSolutions/product.do?id=NCP1421","NCP1421")</f>
        <v>NCP1421</v>
      </c>
      <c r="C252" t="str">
        <f>HYPERLINK("https://www.onsemi.com/pub/Collateral/NCP1421-D.PDF","NCP1421/D (181kB)")</f>
        <v>NCP1421/D (181kB)</v>
      </c>
      <c r="D252" t="s">
        <v>542</v>
      </c>
      <c r="E252" s="2" t="s">
        <v>24</v>
      </c>
      <c r="F252" t="s">
        <v>28</v>
      </c>
      <c r="G252" s="2" t="s">
        <v>15</v>
      </c>
      <c r="H252" s="2"/>
      <c r="I252" s="2" t="s">
        <v>169</v>
      </c>
      <c r="J252" s="2" t="s">
        <v>16</v>
      </c>
      <c r="K252" s="2" t="s">
        <v>223</v>
      </c>
      <c r="L252" s="2" t="s">
        <v>543</v>
      </c>
      <c r="M252" s="2" t="s">
        <v>219</v>
      </c>
      <c r="N252" s="2" t="s">
        <v>544</v>
      </c>
      <c r="O252" s="2" t="s">
        <v>545</v>
      </c>
      <c r="P252" s="2" t="s">
        <v>528</v>
      </c>
    </row>
    <row r="253" spans="1:16" ht="25.5">
      <c r="A253" s="5" t="s">
        <v>686</v>
      </c>
      <c r="B253" t="str">
        <f>HYPERLINK("https://www.onsemi.com/PowerSolutions/product.do?id=NCP1422","NCP1422")</f>
        <v>NCP1422</v>
      </c>
      <c r="C253" t="str">
        <f>HYPERLINK("https://www.onsemi.com/pub/Collateral/NCP1422-D.PDF","NCP1422/D (180kB)")</f>
        <v>NCP1422/D (180kB)</v>
      </c>
      <c r="D253" t="s">
        <v>546</v>
      </c>
      <c r="E253" s="2" t="s">
        <v>24</v>
      </c>
      <c r="F253" t="s">
        <v>28</v>
      </c>
      <c r="G253" s="2" t="s">
        <v>15</v>
      </c>
      <c r="H253" s="2"/>
      <c r="I253" s="2" t="s">
        <v>169</v>
      </c>
      <c r="J253" s="2" t="s">
        <v>16</v>
      </c>
      <c r="K253" s="2" t="s">
        <v>223</v>
      </c>
      <c r="L253" s="2" t="s">
        <v>543</v>
      </c>
      <c r="M253" s="2" t="s">
        <v>157</v>
      </c>
      <c r="N253" s="2" t="s">
        <v>544</v>
      </c>
      <c r="O253" s="2" t="s">
        <v>545</v>
      </c>
      <c r="P253" s="2" t="s">
        <v>133</v>
      </c>
    </row>
    <row r="254" spans="1:16" ht="25.5">
      <c r="A254" s="5" t="s">
        <v>685</v>
      </c>
      <c r="B254" t="str">
        <f>HYPERLINK("https://www.onsemi.com/PowerSolutions/product.do?id=NCP1423","NCP1423")</f>
        <v>NCP1423</v>
      </c>
      <c r="C254" t="str">
        <f>HYPERLINK("https://www.onsemi.com/pub/Collateral/NCP1423-D.PDF","NCP1423/D (234kB)")</f>
        <v>NCP1423/D (234kB)</v>
      </c>
      <c r="D254" t="s">
        <v>547</v>
      </c>
      <c r="E254" s="2" t="s">
        <v>24</v>
      </c>
      <c r="F254" t="s">
        <v>28</v>
      </c>
      <c r="G254" s="2" t="s">
        <v>15</v>
      </c>
      <c r="H254" s="2"/>
      <c r="I254" s="2" t="s">
        <v>169</v>
      </c>
      <c r="J254" s="2" t="s">
        <v>157</v>
      </c>
      <c r="K254" s="2" t="s">
        <v>272</v>
      </c>
      <c r="L254" s="2" t="s">
        <v>548</v>
      </c>
      <c r="M254" s="2" t="s">
        <v>84</v>
      </c>
      <c r="N254" s="2" t="s">
        <v>383</v>
      </c>
      <c r="O254" s="2" t="s">
        <v>549</v>
      </c>
      <c r="P254" s="2" t="s">
        <v>550</v>
      </c>
    </row>
    <row r="255" spans="1:16" ht="25.5">
      <c r="A255" s="5" t="s">
        <v>686</v>
      </c>
      <c r="B255" t="str">
        <f>HYPERLINK("https://www.onsemi.com/PowerSolutions/product.do?id=NCP1521B","NCP1521B")</f>
        <v>NCP1521B</v>
      </c>
      <c r="C255" t="str">
        <f>HYPERLINK("https://www.onsemi.com/pub/Collateral/NCP1521B-D.PDF","NCP1521B/D (192kB)")</f>
        <v>NCP1521B/D (192kB)</v>
      </c>
      <c r="D255" t="s">
        <v>551</v>
      </c>
      <c r="E255" s="2" t="s">
        <v>24</v>
      </c>
      <c r="F255" t="s">
        <v>28</v>
      </c>
      <c r="G255" s="2" t="s">
        <v>29</v>
      </c>
      <c r="H255" s="2"/>
      <c r="I255" s="2" t="s">
        <v>17</v>
      </c>
      <c r="J255" s="2" t="s">
        <v>359</v>
      </c>
      <c r="K255" s="2" t="s">
        <v>223</v>
      </c>
      <c r="L255" s="2" t="s">
        <v>552</v>
      </c>
      <c r="M255" s="2" t="s">
        <v>219</v>
      </c>
      <c r="N255" s="2" t="s">
        <v>325</v>
      </c>
      <c r="O255" s="2" t="s">
        <v>199</v>
      </c>
      <c r="P255" s="2" t="s">
        <v>537</v>
      </c>
    </row>
    <row r="256" spans="1:16" ht="25.5">
      <c r="A256" s="5" t="s">
        <v>685</v>
      </c>
      <c r="B256" t="str">
        <f>HYPERLINK("https://www.onsemi.com/PowerSolutions/product.do?id=NCP1522B","NCP1522B")</f>
        <v>NCP1522B</v>
      </c>
      <c r="C256" t="str">
        <f>HYPERLINK("https://www.onsemi.com/pub/Collateral/NCP1522B-D.PDF","NCP1522B/D (195kB)")</f>
        <v>NCP1522B/D (195kB)</v>
      </c>
      <c r="D256" t="s">
        <v>553</v>
      </c>
      <c r="E256" s="2" t="s">
        <v>24</v>
      </c>
      <c r="F256" t="s">
        <v>28</v>
      </c>
      <c r="G256" s="2" t="s">
        <v>29</v>
      </c>
      <c r="H256" s="2"/>
      <c r="I256" s="2" t="s">
        <v>135</v>
      </c>
      <c r="J256" s="2" t="s">
        <v>359</v>
      </c>
      <c r="K256" s="2" t="s">
        <v>223</v>
      </c>
      <c r="L256" s="2" t="s">
        <v>552</v>
      </c>
      <c r="M256" s="2" t="s">
        <v>219</v>
      </c>
      <c r="N256" s="2" t="s">
        <v>463</v>
      </c>
      <c r="O256" s="2" t="s">
        <v>384</v>
      </c>
      <c r="P256" s="2" t="s">
        <v>554</v>
      </c>
    </row>
    <row r="257" spans="1:16" ht="25.5">
      <c r="A257" s="5" t="s">
        <v>320</v>
      </c>
      <c r="B257" t="str">
        <f>HYPERLINK("https://www.onsemi.com/PowerSolutions/product.do?id=NCP1532","NCP1532")</f>
        <v>NCP1532</v>
      </c>
      <c r="C257" t="str">
        <f>HYPERLINK("https://www.onsemi.com/pub/Collateral/NCP1532-D.PDF","NCP1532/D (388kB)")</f>
        <v>NCP1532/D (388kB)</v>
      </c>
      <c r="D257" t="s">
        <v>555</v>
      </c>
      <c r="E257" s="2" t="s">
        <v>24</v>
      </c>
      <c r="F257" t="s">
        <v>28</v>
      </c>
      <c r="G257" s="2" t="s">
        <v>29</v>
      </c>
      <c r="H257" s="2"/>
      <c r="I257" s="2" t="s">
        <v>17</v>
      </c>
      <c r="J257" s="2" t="s">
        <v>359</v>
      </c>
      <c r="K257" s="2" t="s">
        <v>223</v>
      </c>
      <c r="L257" s="2" t="s">
        <v>552</v>
      </c>
      <c r="M257" s="2" t="s">
        <v>519</v>
      </c>
      <c r="N257" s="2" t="s">
        <v>396</v>
      </c>
      <c r="O257" s="2" t="s">
        <v>556</v>
      </c>
      <c r="P257" s="2" t="s">
        <v>557</v>
      </c>
    </row>
    <row r="258" spans="1:16" ht="25.5">
      <c r="A258" s="5" t="s">
        <v>320</v>
      </c>
      <c r="B258" t="str">
        <f>HYPERLINK("https://www.onsemi.com/PowerSolutions/product.do?id=NCP1592","NCP1592")</f>
        <v>NCP1592</v>
      </c>
      <c r="C258" t="str">
        <f>HYPERLINK("https://www.onsemi.com/pub/Collateral/NCP1592-D.PDF","NCP1592/D (640kB)")</f>
        <v>NCP1592/D (640kB)</v>
      </c>
      <c r="D258" t="s">
        <v>558</v>
      </c>
      <c r="E258" s="2" t="s">
        <v>24</v>
      </c>
      <c r="F258" t="s">
        <v>28</v>
      </c>
      <c r="G258" s="2" t="s">
        <v>29</v>
      </c>
      <c r="H258" s="2"/>
      <c r="I258" s="2" t="s">
        <v>135</v>
      </c>
      <c r="J258" s="2" t="s">
        <v>346</v>
      </c>
      <c r="K258" s="2" t="s">
        <v>272</v>
      </c>
      <c r="L258" s="2" t="s">
        <v>559</v>
      </c>
      <c r="M258" s="2" t="s">
        <v>272</v>
      </c>
      <c r="N258" s="2" t="s">
        <v>463</v>
      </c>
      <c r="O258" s="2" t="s">
        <v>560</v>
      </c>
      <c r="P258" s="2" t="s">
        <v>561</v>
      </c>
    </row>
    <row r="259" spans="1:16" ht="25.5">
      <c r="A259" s="5" t="s">
        <v>687</v>
      </c>
      <c r="B259" t="str">
        <f>HYPERLINK("https://www.onsemi.com/PowerSolutions/product.do?id=NCP1593","NCP1593")</f>
        <v>NCP1593</v>
      </c>
      <c r="C259" t="str">
        <f>HYPERLINK("https://www.onsemi.com/pub/Collateral/NCP1593-D.PDF","NCP1593/D (479kB)")</f>
        <v>NCP1593/D (479kB)</v>
      </c>
      <c r="D259" t="s">
        <v>562</v>
      </c>
      <c r="E259" s="2" t="s">
        <v>24</v>
      </c>
      <c r="F259" t="s">
        <v>28</v>
      </c>
      <c r="G259" s="2" t="s">
        <v>29</v>
      </c>
      <c r="H259" s="2"/>
      <c r="I259" s="2" t="s">
        <v>17</v>
      </c>
      <c r="J259" s="2" t="s">
        <v>376</v>
      </c>
      <c r="K259" s="2" t="s">
        <v>223</v>
      </c>
      <c r="L259" s="2" t="s">
        <v>563</v>
      </c>
      <c r="M259" s="2" t="s">
        <v>346</v>
      </c>
      <c r="N259" s="2" t="s">
        <v>361</v>
      </c>
      <c r="O259" s="2" t="s">
        <v>129</v>
      </c>
      <c r="P259" s="2" t="s">
        <v>133</v>
      </c>
    </row>
    <row r="260" spans="1:16" ht="25.5">
      <c r="A260" s="5" t="s">
        <v>685</v>
      </c>
      <c r="B260" t="str">
        <f>HYPERLINK("https://www.onsemi.com/PowerSolutions/product.do?id=NCP1594A","NCP1594A")</f>
        <v>NCP1594A</v>
      </c>
      <c r="C260" t="str">
        <f>HYPERLINK("https://www.onsemi.com/pub/Collateral/NCP1594-D.PDF","NCP1594/D (217kB)")</f>
        <v>NCP1594/D (217kB)</v>
      </c>
      <c r="D260" t="s">
        <v>564</v>
      </c>
      <c r="E260" s="2" t="s">
        <v>24</v>
      </c>
      <c r="F260" t="s">
        <v>28</v>
      </c>
      <c r="G260" s="2" t="s">
        <v>29</v>
      </c>
      <c r="H260" s="2"/>
      <c r="I260" s="2" t="s">
        <v>135</v>
      </c>
      <c r="J260" s="2" t="s">
        <v>565</v>
      </c>
      <c r="K260" s="2" t="s">
        <v>272</v>
      </c>
      <c r="L260" s="2" t="s">
        <v>566</v>
      </c>
      <c r="M260" s="2" t="s">
        <v>376</v>
      </c>
      <c r="N260" s="2" t="s">
        <v>463</v>
      </c>
      <c r="O260" s="2" t="s">
        <v>567</v>
      </c>
      <c r="P260" s="2" t="s">
        <v>568</v>
      </c>
    </row>
    <row r="261" spans="1:16" ht="25.5">
      <c r="A261" s="5" t="s">
        <v>686</v>
      </c>
      <c r="B261" t="str">
        <f>HYPERLINK("https://www.onsemi.com/PowerSolutions/product.do?id=NCP1595","NCP1595")</f>
        <v>NCP1595</v>
      </c>
      <c r="C261" t="str">
        <f>HYPERLINK("https://www.onsemi.com/pub/Collateral/NCP1595-D.PDF","NCP1595/D (560kB)")</f>
        <v>NCP1595/D (560kB)</v>
      </c>
      <c r="D261" t="s">
        <v>569</v>
      </c>
      <c r="E261" s="2" t="s">
        <v>24</v>
      </c>
      <c r="F261" t="s">
        <v>28</v>
      </c>
      <c r="G261" s="2" t="s">
        <v>29</v>
      </c>
      <c r="H261" s="2"/>
      <c r="I261" s="2" t="s">
        <v>17</v>
      </c>
      <c r="J261" s="2" t="s">
        <v>376</v>
      </c>
      <c r="K261" s="2" t="s">
        <v>223</v>
      </c>
      <c r="L261" s="2" t="s">
        <v>570</v>
      </c>
      <c r="M261" s="2" t="s">
        <v>355</v>
      </c>
      <c r="N261" s="2" t="s">
        <v>463</v>
      </c>
      <c r="O261" s="2" t="s">
        <v>545</v>
      </c>
      <c r="P261" s="2" t="s">
        <v>571</v>
      </c>
    </row>
    <row r="262" spans="1:16">
      <c r="A262" s="5" t="s">
        <v>320</v>
      </c>
      <c r="B262" t="str">
        <f>HYPERLINK("https://www.onsemi.com/PowerSolutions/product.do?id=NCP1597","NCP1597")</f>
        <v>NCP1597</v>
      </c>
      <c r="C262" t="str">
        <f>HYPERLINK("https://www.onsemi.com/pub/Collateral/NCP1597-D.PDF","NCP1597/D (556kB)")</f>
        <v>NCP1597/D (556kB)</v>
      </c>
      <c r="D262" t="s">
        <v>572</v>
      </c>
      <c r="E262" s="2" t="s">
        <v>70</v>
      </c>
      <c r="F262" t="s">
        <v>28</v>
      </c>
      <c r="G262" s="2" t="s">
        <v>29</v>
      </c>
      <c r="H262" s="2"/>
      <c r="I262" s="2" t="s">
        <v>17</v>
      </c>
      <c r="J262" s="2" t="s">
        <v>376</v>
      </c>
      <c r="K262" s="2" t="s">
        <v>223</v>
      </c>
      <c r="L262" s="2" t="s">
        <v>570</v>
      </c>
      <c r="M262" s="2" t="s">
        <v>252</v>
      </c>
      <c r="N262" s="2" t="s">
        <v>361</v>
      </c>
      <c r="O262" s="2" t="s">
        <v>129</v>
      </c>
      <c r="P262" s="2" t="s">
        <v>571</v>
      </c>
    </row>
    <row r="263" spans="1:16" ht="25.5">
      <c r="A263" s="5" t="s">
        <v>320</v>
      </c>
      <c r="B263" t="str">
        <f>HYPERLINK("https://www.onsemi.com/PowerSolutions/product.do?id=NCP1597B","NCP1597B")</f>
        <v>NCP1597B</v>
      </c>
      <c r="C263" t="str">
        <f>HYPERLINK("https://www.onsemi.com/pub/Collateral/NCP1597B-D.PDF","NCP1597B/D (560kB)")</f>
        <v>NCP1597B/D (560kB)</v>
      </c>
      <c r="D263" t="s">
        <v>572</v>
      </c>
      <c r="E263" s="2" t="s">
        <v>24</v>
      </c>
      <c r="F263" t="s">
        <v>28</v>
      </c>
      <c r="G263" s="2" t="s">
        <v>29</v>
      </c>
      <c r="H263" s="2"/>
      <c r="I263" s="2" t="s">
        <v>17</v>
      </c>
      <c r="J263" s="2" t="s">
        <v>376</v>
      </c>
      <c r="K263" s="2" t="s">
        <v>223</v>
      </c>
      <c r="L263" s="2" t="s">
        <v>570</v>
      </c>
      <c r="M263" s="2" t="s">
        <v>252</v>
      </c>
      <c r="N263" s="2" t="s">
        <v>361</v>
      </c>
      <c r="O263" s="2" t="s">
        <v>129</v>
      </c>
      <c r="P263" s="2" t="s">
        <v>133</v>
      </c>
    </row>
    <row r="264" spans="1:16">
      <c r="A264" s="5" t="s">
        <v>320</v>
      </c>
      <c r="B264" t="str">
        <f>HYPERLINK("https://www.onsemi.com/PowerSolutions/product.do?id=NCP1599","NCP1599")</f>
        <v>NCP1599</v>
      </c>
      <c r="C264" t="str">
        <f>HYPERLINK("https://www.onsemi.com/pub/Collateral/NCP1599-D.PDF","NCP1599/D (534kB)")</f>
        <v>NCP1599/D (534kB)</v>
      </c>
      <c r="D264" t="s">
        <v>573</v>
      </c>
      <c r="E264" s="2" t="s">
        <v>70</v>
      </c>
      <c r="F264" t="s">
        <v>28</v>
      </c>
      <c r="G264" s="2" t="s">
        <v>29</v>
      </c>
      <c r="H264" s="2"/>
      <c r="I264" s="2" t="s">
        <v>135</v>
      </c>
      <c r="J264" s="2" t="s">
        <v>346</v>
      </c>
      <c r="K264" s="2" t="s">
        <v>223</v>
      </c>
      <c r="L264" s="2" t="s">
        <v>345</v>
      </c>
      <c r="M264" s="2" t="s">
        <v>346</v>
      </c>
      <c r="N264" s="2" t="s">
        <v>361</v>
      </c>
      <c r="O264" s="2" t="s">
        <v>129</v>
      </c>
      <c r="P264" s="2" t="s">
        <v>571</v>
      </c>
    </row>
    <row r="265" spans="1:16" ht="38.25">
      <c r="A265" s="5" t="s">
        <v>320</v>
      </c>
      <c r="B265" t="str">
        <f>HYPERLINK("https://www.onsemi.com/PowerSolutions/product.do?id=NCP3063","NCP3063")</f>
        <v>NCP3063</v>
      </c>
      <c r="C265" t="str">
        <f>HYPERLINK("https://www.onsemi.com/pub/Collateral/NCP3063-D.PDF","NCP3063/D (358.0kB)")</f>
        <v>NCP3063/D (358.0kB)</v>
      </c>
      <c r="D265" t="s">
        <v>574</v>
      </c>
      <c r="E265" s="2" t="s">
        <v>24</v>
      </c>
      <c r="F265" t="s">
        <v>28</v>
      </c>
      <c r="G265" s="2" t="s">
        <v>515</v>
      </c>
      <c r="H265" s="2"/>
      <c r="I265" s="2" t="s">
        <v>44</v>
      </c>
      <c r="J265" s="2" t="s">
        <v>346</v>
      </c>
      <c r="K265" s="2" t="s">
        <v>119</v>
      </c>
      <c r="L265" s="2" t="s">
        <v>516</v>
      </c>
      <c r="M265" s="2" t="s">
        <v>355</v>
      </c>
      <c r="N265" s="2" t="s">
        <v>434</v>
      </c>
      <c r="O265" s="2" t="s">
        <v>487</v>
      </c>
      <c r="P265" s="2" t="s">
        <v>530</v>
      </c>
    </row>
    <row r="266" spans="1:16" ht="38.25">
      <c r="A266" s="5" t="s">
        <v>686</v>
      </c>
      <c r="B266" t="str">
        <f>HYPERLINK("https://www.onsemi.com/PowerSolutions/product.do?id=NCP3064","NCP3064")</f>
        <v>NCP3064</v>
      </c>
      <c r="C266" t="str">
        <f>HYPERLINK("https://www.onsemi.com/pub/Collateral/NCP3064-D.PDF","NCP3064/D (1501kB)")</f>
        <v>NCP3064/D (1501kB)</v>
      </c>
      <c r="D266" t="s">
        <v>575</v>
      </c>
      <c r="E266" s="2" t="s">
        <v>24</v>
      </c>
      <c r="F266" t="s">
        <v>28</v>
      </c>
      <c r="G266" s="2" t="s">
        <v>515</v>
      </c>
      <c r="H266" s="2"/>
      <c r="I266" s="2" t="s">
        <v>44</v>
      </c>
      <c r="J266" s="2" t="s">
        <v>346</v>
      </c>
      <c r="K266" s="2" t="s">
        <v>119</v>
      </c>
      <c r="L266" s="2" t="s">
        <v>516</v>
      </c>
      <c r="M266" s="2" t="s">
        <v>355</v>
      </c>
      <c r="N266" s="2" t="s">
        <v>434</v>
      </c>
      <c r="O266" s="2" t="s">
        <v>487</v>
      </c>
      <c r="P266" s="2" t="s">
        <v>530</v>
      </c>
    </row>
    <row r="267" spans="1:16" ht="51">
      <c r="A267" s="5" t="s">
        <v>686</v>
      </c>
      <c r="B267" t="str">
        <f>HYPERLINK("https://www.onsemi.com/PowerSolutions/product.do?id=NCP3065","NCP3065")</f>
        <v>NCP3065</v>
      </c>
      <c r="C267" t="str">
        <f>HYPERLINK("https://www.onsemi.com/pub/Collateral/NCP3065.PDF","NCP3065 (260kB)")</f>
        <v>NCP3065 (260kB)</v>
      </c>
      <c r="D267" t="s">
        <v>576</v>
      </c>
      <c r="E267" s="2" t="s">
        <v>49</v>
      </c>
      <c r="F267" t="s">
        <v>28</v>
      </c>
      <c r="G267" s="2" t="s">
        <v>515</v>
      </c>
      <c r="H267" s="2"/>
      <c r="I267" s="2" t="s">
        <v>44</v>
      </c>
      <c r="J267" s="2" t="s">
        <v>346</v>
      </c>
      <c r="K267" s="2" t="s">
        <v>119</v>
      </c>
      <c r="L267" s="2" t="s">
        <v>516</v>
      </c>
      <c r="M267" s="2" t="s">
        <v>355</v>
      </c>
      <c r="N267" s="2" t="s">
        <v>434</v>
      </c>
      <c r="O267" s="2" t="s">
        <v>141</v>
      </c>
      <c r="P267" s="2" t="s">
        <v>530</v>
      </c>
    </row>
    <row r="268" spans="1:16" ht="51">
      <c r="A268" s="5" t="s">
        <v>686</v>
      </c>
      <c r="B268" t="str">
        <f>HYPERLINK("https://www.onsemi.com/PowerSolutions/product.do?id=NCP3066","NCP3066")</f>
        <v>NCP3066</v>
      </c>
      <c r="C268" t="str">
        <f>HYPERLINK("https://www.onsemi.com/pub/Collateral/NCP3066-D.PDF","NCP3066/D (1617kB)")</f>
        <v>NCP3066/D (1617kB)</v>
      </c>
      <c r="D268" t="s">
        <v>577</v>
      </c>
      <c r="E268" s="2" t="s">
        <v>49</v>
      </c>
      <c r="F268" t="s">
        <v>28</v>
      </c>
      <c r="G268" s="2" t="s">
        <v>515</v>
      </c>
      <c r="H268" s="2"/>
      <c r="I268" s="2" t="s">
        <v>44</v>
      </c>
      <c r="J268" s="2" t="s">
        <v>346</v>
      </c>
      <c r="K268" s="2" t="s">
        <v>119</v>
      </c>
      <c r="L268" s="2" t="s">
        <v>516</v>
      </c>
      <c r="M268" s="2" t="s">
        <v>355</v>
      </c>
      <c r="N268" s="2" t="s">
        <v>434</v>
      </c>
      <c r="O268" s="2" t="s">
        <v>578</v>
      </c>
      <c r="P268" s="2" t="s">
        <v>530</v>
      </c>
    </row>
    <row r="269" spans="1:16" ht="38.25">
      <c r="A269" s="5" t="s">
        <v>686</v>
      </c>
      <c r="B269" t="str">
        <f>HYPERLINK("https://www.onsemi.com/PowerSolutions/product.do?id=NCP3101","NCP3101")</f>
        <v>NCP3101</v>
      </c>
      <c r="C269" t="str">
        <f>HYPERLINK("https://www.onsemi.com/pub/Collateral/NCP3101-D.PDF","NCP3101/D (274.0kB)")</f>
        <v>NCP3101/D (274.0kB)</v>
      </c>
      <c r="D269" t="s">
        <v>579</v>
      </c>
      <c r="E269" s="2" t="s">
        <v>24</v>
      </c>
      <c r="F269" t="s">
        <v>28</v>
      </c>
      <c r="G269" s="2" t="s">
        <v>29</v>
      </c>
      <c r="H269" s="2"/>
      <c r="I269" s="2" t="s">
        <v>135</v>
      </c>
      <c r="J269" s="2" t="s">
        <v>359</v>
      </c>
      <c r="K269" s="2" t="s">
        <v>580</v>
      </c>
      <c r="L269" s="2" t="s">
        <v>581</v>
      </c>
      <c r="M269" s="2" t="s">
        <v>272</v>
      </c>
      <c r="N269" s="2" t="s">
        <v>361</v>
      </c>
      <c r="O269" s="2" t="s">
        <v>176</v>
      </c>
      <c r="P269" s="2" t="s">
        <v>200</v>
      </c>
    </row>
    <row r="270" spans="1:16" ht="25.5">
      <c r="A270" s="5" t="s">
        <v>686</v>
      </c>
      <c r="B270" t="str">
        <f>HYPERLINK("https://www.onsemi.com/PowerSolutions/product.do?id=NCP3133A","NCP3133A")</f>
        <v>NCP3133A</v>
      </c>
      <c r="C270" t="str">
        <f>HYPERLINK("https://www.onsemi.com/pub/Collateral/NCP3133A-D.PDF","NCP3133A/D (183kB)")</f>
        <v>NCP3133A/D (183kB)</v>
      </c>
      <c r="D270" t="s">
        <v>582</v>
      </c>
      <c r="E270" s="2" t="s">
        <v>24</v>
      </c>
      <c r="F270" t="s">
        <v>28</v>
      </c>
      <c r="G270" s="2" t="s">
        <v>29</v>
      </c>
      <c r="H270" s="2"/>
      <c r="I270" s="2" t="s">
        <v>135</v>
      </c>
      <c r="J270" s="2" t="s">
        <v>565</v>
      </c>
      <c r="K270" s="2" t="s">
        <v>223</v>
      </c>
      <c r="L270" s="2" t="s">
        <v>34</v>
      </c>
      <c r="M270" s="2" t="s">
        <v>346</v>
      </c>
      <c r="N270" s="2" t="s">
        <v>583</v>
      </c>
      <c r="O270" s="2" t="s">
        <v>129</v>
      </c>
      <c r="P270" s="2" t="s">
        <v>207</v>
      </c>
    </row>
    <row r="271" spans="1:16" ht="25.5">
      <c r="A271" s="5" t="s">
        <v>686</v>
      </c>
      <c r="B271" t="str">
        <f>HYPERLINK("https://www.onsemi.com/PowerSolutions/product.do?id=NCP3135","NCP3135")</f>
        <v>NCP3135</v>
      </c>
      <c r="C271" t="str">
        <f>HYPERLINK("https://www.onsemi.com/pub/Collateral/NCP3135-D.PDF","NCP3135/D (199kB)")</f>
        <v>NCP3135/D (199kB)</v>
      </c>
      <c r="D271" t="s">
        <v>584</v>
      </c>
      <c r="E271" s="2" t="s">
        <v>24</v>
      </c>
      <c r="F271" t="s">
        <v>28</v>
      </c>
      <c r="G271" s="2" t="s">
        <v>29</v>
      </c>
      <c r="H271" s="2"/>
      <c r="I271" s="2" t="s">
        <v>135</v>
      </c>
      <c r="J271" s="2" t="s">
        <v>565</v>
      </c>
      <c r="K271" s="2" t="s">
        <v>223</v>
      </c>
      <c r="L271" s="2" t="s">
        <v>585</v>
      </c>
      <c r="M271" s="2" t="s">
        <v>241</v>
      </c>
      <c r="N271" s="2" t="s">
        <v>463</v>
      </c>
      <c r="O271" s="2" t="s">
        <v>586</v>
      </c>
      <c r="P271" s="2" t="s">
        <v>207</v>
      </c>
    </row>
    <row r="272" spans="1:16" ht="25.5">
      <c r="A272" s="5" t="s">
        <v>686</v>
      </c>
      <c r="B272" t="str">
        <f>HYPERLINK("https://www.onsemi.com/PowerSolutions/product.do?id=NCP3136","NCP3136")</f>
        <v>NCP3136</v>
      </c>
      <c r="C272" t="str">
        <f>HYPERLINK("https://www.onsemi.com/pub/Collateral/NCP3136-D.PDF","NCP3136/D (157kB)")</f>
        <v>NCP3136/D (157kB)</v>
      </c>
      <c r="D272" t="s">
        <v>587</v>
      </c>
      <c r="E272" s="2" t="s">
        <v>24</v>
      </c>
      <c r="F272" t="s">
        <v>28</v>
      </c>
      <c r="G272" s="2" t="s">
        <v>29</v>
      </c>
      <c r="H272" s="2"/>
      <c r="I272" s="2" t="s">
        <v>135</v>
      </c>
      <c r="J272" s="2" t="s">
        <v>565</v>
      </c>
      <c r="K272" s="2" t="s">
        <v>223</v>
      </c>
      <c r="L272" s="2" t="s">
        <v>34</v>
      </c>
      <c r="M272" s="2" t="s">
        <v>241</v>
      </c>
      <c r="N272" s="2" t="s">
        <v>463</v>
      </c>
      <c r="O272" s="2" t="s">
        <v>586</v>
      </c>
      <c r="P272" s="2" t="s">
        <v>207</v>
      </c>
    </row>
    <row r="273" spans="1:16" ht="38.25">
      <c r="A273" s="5" t="s">
        <v>686</v>
      </c>
      <c r="B273" t="str">
        <f>HYPERLINK("https://www.onsemi.com/PowerSolutions/product.do?id=NCP3163","NCP3163")</f>
        <v>NCP3163</v>
      </c>
      <c r="C273" t="str">
        <f>HYPERLINK("https://www.onsemi.com/pub/Collateral/NCP3163-D.PDF","NCP3163/D (250kB)")</f>
        <v>NCP3163/D (250kB)</v>
      </c>
      <c r="D273" t="s">
        <v>588</v>
      </c>
      <c r="E273" s="2" t="s">
        <v>24</v>
      </c>
      <c r="F273" t="s">
        <v>28</v>
      </c>
      <c r="G273" s="2" t="s">
        <v>515</v>
      </c>
      <c r="H273" s="2"/>
      <c r="I273" s="2" t="s">
        <v>44</v>
      </c>
      <c r="J273" s="2" t="s">
        <v>344</v>
      </c>
      <c r="K273" s="2" t="s">
        <v>119</v>
      </c>
      <c r="L273" s="2" t="s">
        <v>516</v>
      </c>
      <c r="M273" s="2" t="s">
        <v>346</v>
      </c>
      <c r="N273" s="2" t="s">
        <v>434</v>
      </c>
      <c r="O273" s="2" t="s">
        <v>314</v>
      </c>
      <c r="P273" s="2" t="s">
        <v>589</v>
      </c>
    </row>
    <row r="274" spans="1:16" ht="25.5">
      <c r="A274" s="5" t="s">
        <v>686</v>
      </c>
      <c r="B274" t="str">
        <f>HYPERLINK("https://www.onsemi.com/PowerSolutions/product.do?id=NCP3170","NCP3170")</f>
        <v>NCP3170</v>
      </c>
      <c r="C274" t="str">
        <f>HYPERLINK("https://www.onsemi.com/pub/Collateral/NCP3170-D.PDF","NCP3170/D (526kB)")</f>
        <v>NCP3170/D (526kB)</v>
      </c>
      <c r="D274" t="s">
        <v>590</v>
      </c>
      <c r="E274" s="2" t="s">
        <v>24</v>
      </c>
      <c r="F274" t="s">
        <v>28</v>
      </c>
      <c r="G274" s="2" t="s">
        <v>29</v>
      </c>
      <c r="H274" s="2"/>
      <c r="I274" s="2" t="s">
        <v>17</v>
      </c>
      <c r="J274" s="2" t="s">
        <v>45</v>
      </c>
      <c r="K274" s="2" t="s">
        <v>591</v>
      </c>
      <c r="L274" s="2" t="s">
        <v>592</v>
      </c>
      <c r="M274" s="2" t="s">
        <v>346</v>
      </c>
      <c r="N274" s="2" t="s">
        <v>383</v>
      </c>
      <c r="O274" s="2" t="s">
        <v>593</v>
      </c>
      <c r="P274" s="2" t="s">
        <v>21</v>
      </c>
    </row>
    <row r="275" spans="1:16" ht="25.5">
      <c r="A275" s="5" t="s">
        <v>686</v>
      </c>
      <c r="B275" t="str">
        <f>HYPERLINK("https://www.onsemi.com/PowerSolutions/product.do?id=NCP3230","NCP3230")</f>
        <v>NCP3230</v>
      </c>
      <c r="C275" t="str">
        <f>HYPERLINK("https://www.onsemi.com/pub/Collateral/NCP3230-D.PDF","NCP3230/D (234kB)")</f>
        <v>NCP3230/D (234kB)</v>
      </c>
      <c r="D275" t="s">
        <v>594</v>
      </c>
      <c r="E275" s="2" t="s">
        <v>24</v>
      </c>
      <c r="F275" t="s">
        <v>28</v>
      </c>
      <c r="G275" s="2" t="s">
        <v>29</v>
      </c>
      <c r="H275" s="2"/>
      <c r="I275" s="2" t="s">
        <v>135</v>
      </c>
      <c r="J275" s="2" t="s">
        <v>45</v>
      </c>
      <c r="K275" s="2" t="s">
        <v>63</v>
      </c>
      <c r="L275" s="2" t="s">
        <v>16</v>
      </c>
      <c r="M275" s="2" t="s">
        <v>324</v>
      </c>
      <c r="N275" s="2" t="s">
        <v>463</v>
      </c>
      <c r="O275" s="2" t="s">
        <v>595</v>
      </c>
      <c r="P275" s="2" t="s">
        <v>200</v>
      </c>
    </row>
    <row r="276" spans="1:16" ht="25.5">
      <c r="A276" s="5" t="s">
        <v>685</v>
      </c>
      <c r="B276" t="str">
        <f>HYPERLINK("https://www.onsemi.com/PowerSolutions/product.do?id=NCP3231","NCP3231")</f>
        <v>NCP3231</v>
      </c>
      <c r="C276" t="str">
        <f>HYPERLINK("https://www.onsemi.com/pub/Collateral/NCP3231-D.PDF","NCP3231/D (240kB)")</f>
        <v>NCP3231/D (240kB)</v>
      </c>
      <c r="D276" t="s">
        <v>596</v>
      </c>
      <c r="E276" s="2" t="s">
        <v>24</v>
      </c>
      <c r="F276" t="s">
        <v>28</v>
      </c>
      <c r="G276" s="2" t="s">
        <v>29</v>
      </c>
      <c r="H276" s="2"/>
      <c r="I276" s="2" t="s">
        <v>135</v>
      </c>
      <c r="J276" s="2" t="s">
        <v>45</v>
      </c>
      <c r="K276" s="2" t="s">
        <v>63</v>
      </c>
      <c r="L276" s="2" t="s">
        <v>30</v>
      </c>
      <c r="M276" s="2" t="s">
        <v>87</v>
      </c>
      <c r="N276" s="2" t="s">
        <v>597</v>
      </c>
      <c r="O276" s="2" t="s">
        <v>595</v>
      </c>
      <c r="P276" s="2" t="s">
        <v>200</v>
      </c>
    </row>
    <row r="277" spans="1:16" ht="25.5">
      <c r="A277" s="5" t="s">
        <v>685</v>
      </c>
      <c r="B277" t="str">
        <f>HYPERLINK("https://www.onsemi.com/PowerSolutions/product.do?id=NCP3231A","NCP3231A")</f>
        <v>NCP3231A</v>
      </c>
      <c r="C277" t="str">
        <f>HYPERLINK("https://www.onsemi.com/pub/Collateral/NCP3231A-D.PDF","NCP3231A/D (233kB)")</f>
        <v>NCP3231A/D (233kB)</v>
      </c>
      <c r="D277" t="s">
        <v>596</v>
      </c>
      <c r="E277" s="2" t="s">
        <v>24</v>
      </c>
      <c r="F277" t="s">
        <v>28</v>
      </c>
      <c r="G277" s="2" t="s">
        <v>29</v>
      </c>
      <c r="H277" s="2"/>
      <c r="I277" s="2" t="s">
        <v>135</v>
      </c>
      <c r="J277" s="2" t="s">
        <v>45</v>
      </c>
      <c r="K277" s="2" t="s">
        <v>63</v>
      </c>
      <c r="L277" s="2" t="s">
        <v>30</v>
      </c>
      <c r="M277" s="2" t="s">
        <v>87</v>
      </c>
      <c r="N277" s="2" t="s">
        <v>597</v>
      </c>
      <c r="O277" s="2" t="s">
        <v>595</v>
      </c>
      <c r="P277" s="2" t="s">
        <v>200</v>
      </c>
    </row>
    <row r="278" spans="1:16" ht="25.5">
      <c r="A278" s="5" t="s">
        <v>685</v>
      </c>
      <c r="B278" t="str">
        <f>HYPERLINK("https://www.onsemi.com/PowerSolutions/product.do?id=NCP3231B","NCP3231B")</f>
        <v>NCP3231B</v>
      </c>
      <c r="C278" t="str">
        <f>HYPERLINK("https://www.onsemi.com/pub/Collateral/NCP3231B-D.PDF","NCP3231B/D (223kB)")</f>
        <v>NCP3231B/D (223kB)</v>
      </c>
      <c r="D278" t="s">
        <v>598</v>
      </c>
      <c r="E278" s="2" t="s">
        <v>24</v>
      </c>
      <c r="F278" t="s">
        <v>28</v>
      </c>
      <c r="G278" s="2" t="s">
        <v>29</v>
      </c>
      <c r="H278" s="2"/>
      <c r="I278" s="2" t="s">
        <v>135</v>
      </c>
      <c r="J278" s="2" t="s">
        <v>45</v>
      </c>
      <c r="K278" s="2" t="s">
        <v>63</v>
      </c>
      <c r="L278" s="2" t="s">
        <v>16</v>
      </c>
      <c r="M278" s="2" t="s">
        <v>87</v>
      </c>
      <c r="N278" s="2" t="s">
        <v>599</v>
      </c>
      <c r="O278" s="2" t="s">
        <v>129</v>
      </c>
      <c r="P278" s="2" t="s">
        <v>200</v>
      </c>
    </row>
    <row r="279" spans="1:16" ht="25.5">
      <c r="A279" s="5" t="s">
        <v>685</v>
      </c>
      <c r="B279" t="str">
        <f>HYPERLINK("https://www.onsemi.com/PowerSolutions/product.do?id=NCP3232N","NCP3232N")</f>
        <v>NCP3232N</v>
      </c>
      <c r="C279" t="str">
        <f>HYPERLINK("https://www.onsemi.com/pub/Collateral/NCP3232N-D.PDF","NCP3232N/D (239kB)")</f>
        <v>NCP3232N/D (239kB)</v>
      </c>
      <c r="D279" t="s">
        <v>596</v>
      </c>
      <c r="E279" s="2" t="s">
        <v>24</v>
      </c>
      <c r="F279" t="s">
        <v>28</v>
      </c>
      <c r="G279" s="2" t="s">
        <v>29</v>
      </c>
      <c r="H279" s="2"/>
      <c r="I279" s="2" t="s">
        <v>135</v>
      </c>
      <c r="J279" s="2" t="s">
        <v>45</v>
      </c>
      <c r="K279" s="2" t="s">
        <v>600</v>
      </c>
      <c r="L279" s="2" t="s">
        <v>355</v>
      </c>
      <c r="M279" s="2" t="s">
        <v>56</v>
      </c>
      <c r="N279" s="2" t="s">
        <v>361</v>
      </c>
      <c r="O279" s="2" t="s">
        <v>595</v>
      </c>
      <c r="P279" s="2" t="s">
        <v>200</v>
      </c>
    </row>
    <row r="280" spans="1:16" ht="25.5">
      <c r="A280" s="5" t="s">
        <v>685</v>
      </c>
      <c r="B280" t="str">
        <f>HYPERLINK("https://www.onsemi.com/PowerSolutions/product.do?id=NCP3233","NCP3233")</f>
        <v>NCP3233</v>
      </c>
      <c r="C280" t="str">
        <f>HYPERLINK("https://www.onsemi.com/pub/Collateral/NCP3233-D.PDF","NCP3233/D (196kB)")</f>
        <v>NCP3233/D (196kB)</v>
      </c>
      <c r="D280" t="s">
        <v>601</v>
      </c>
      <c r="E280" s="2" t="s">
        <v>24</v>
      </c>
      <c r="F280" t="s">
        <v>28</v>
      </c>
      <c r="G280" s="2" t="s">
        <v>29</v>
      </c>
      <c r="H280" s="2"/>
      <c r="I280" s="2" t="s">
        <v>135</v>
      </c>
      <c r="J280" s="2" t="s">
        <v>346</v>
      </c>
      <c r="K280" s="2" t="s">
        <v>46</v>
      </c>
      <c r="L280" s="2" t="s">
        <v>219</v>
      </c>
      <c r="M280" s="2" t="s">
        <v>38</v>
      </c>
      <c r="N280" s="2" t="s">
        <v>463</v>
      </c>
      <c r="O280" s="2" t="s">
        <v>595</v>
      </c>
      <c r="P280" s="2" t="s">
        <v>200</v>
      </c>
    </row>
    <row r="281" spans="1:16" ht="25.5">
      <c r="A281" s="5" t="s">
        <v>685</v>
      </c>
      <c r="B281" t="str">
        <f>HYPERLINK("https://www.onsemi.com/PowerSolutions/product.do?id=NCP3235","NCP3235")</f>
        <v>NCP3235</v>
      </c>
      <c r="C281" t="str">
        <f>HYPERLINK("https://www.onsemi.com/pub/Collateral/NCP3235-D.PDF","NCP3235/D (488kB)")</f>
        <v>NCP3235/D (488kB)</v>
      </c>
      <c r="D281" t="s">
        <v>602</v>
      </c>
      <c r="E281" s="2" t="s">
        <v>24</v>
      </c>
      <c r="F281" t="s">
        <v>28</v>
      </c>
      <c r="G281" s="2" t="s">
        <v>29</v>
      </c>
      <c r="H281" s="2"/>
      <c r="I281" s="2" t="s">
        <v>135</v>
      </c>
      <c r="J281" s="2" t="s">
        <v>45</v>
      </c>
      <c r="K281" s="2" t="s">
        <v>600</v>
      </c>
      <c r="L281" s="2" t="s">
        <v>219</v>
      </c>
      <c r="M281" s="2" t="s">
        <v>56</v>
      </c>
      <c r="N281" s="2" t="s">
        <v>603</v>
      </c>
      <c r="O281" s="2" t="s">
        <v>604</v>
      </c>
      <c r="P281" s="2" t="s">
        <v>200</v>
      </c>
    </row>
    <row r="282" spans="1:16" ht="25.5">
      <c r="A282" s="5" t="s">
        <v>685</v>
      </c>
      <c r="B282" t="str">
        <f>HYPERLINK("https://www.onsemi.com/PowerSolutions/product.do?id=NCP4060","NCP4060")</f>
        <v>NCP4060</v>
      </c>
      <c r="C282" t="str">
        <f>HYPERLINK("https://www.onsemi.com/pub/Collateral/NCP4060-D.PDF","NCP4060/D (1209kB)")</f>
        <v>NCP4060/D (1209kB)</v>
      </c>
      <c r="D282" t="s">
        <v>605</v>
      </c>
      <c r="E282" s="2" t="s">
        <v>24</v>
      </c>
      <c r="F282" t="s">
        <v>28</v>
      </c>
      <c r="G282" s="2" t="s">
        <v>29</v>
      </c>
      <c r="H282" s="2"/>
      <c r="I282" s="2" t="s">
        <v>135</v>
      </c>
      <c r="J282" s="2" t="s">
        <v>46</v>
      </c>
      <c r="K282" s="2" t="s">
        <v>347</v>
      </c>
      <c r="L282" s="2" t="s">
        <v>529</v>
      </c>
      <c r="M282" s="2" t="s">
        <v>272</v>
      </c>
      <c r="N282" s="2" t="s">
        <v>463</v>
      </c>
      <c r="O282" s="2" t="s">
        <v>206</v>
      </c>
      <c r="P282" s="2" t="s">
        <v>212</v>
      </c>
    </row>
    <row r="283" spans="1:16" ht="25.5">
      <c r="A283" s="5" t="s">
        <v>686</v>
      </c>
      <c r="B283" t="str">
        <f>HYPERLINK("https://www.onsemi.com/PowerSolutions/product.do?id=NCP4060A","NCP4060A")</f>
        <v>NCP4060A</v>
      </c>
      <c r="C283" t="str">
        <f>HYPERLINK("https://www.onsemi.com/pub/Collateral/NCP4060A-D.PDF","NCP4060A/D (1271kB)")</f>
        <v>NCP4060A/D (1271kB)</v>
      </c>
      <c r="D283" t="s">
        <v>605</v>
      </c>
      <c r="E283" s="2" t="s">
        <v>24</v>
      </c>
      <c r="F283" t="s">
        <v>28</v>
      </c>
      <c r="G283" s="2" t="s">
        <v>29</v>
      </c>
      <c r="H283" s="2"/>
      <c r="I283" s="2" t="s">
        <v>135</v>
      </c>
      <c r="J283" s="2" t="s">
        <v>46</v>
      </c>
      <c r="K283" s="2" t="s">
        <v>347</v>
      </c>
      <c r="L283" s="2" t="s">
        <v>529</v>
      </c>
      <c r="M283" s="2" t="s">
        <v>272</v>
      </c>
      <c r="N283" s="2" t="s">
        <v>325</v>
      </c>
      <c r="O283" s="2" t="s">
        <v>206</v>
      </c>
      <c r="P283" s="2" t="s">
        <v>606</v>
      </c>
    </row>
    <row r="284" spans="1:16" ht="25.5">
      <c r="A284" s="5" t="s">
        <v>685</v>
      </c>
      <c r="B284" t="str">
        <f>HYPERLINK("https://www.onsemi.com/PowerSolutions/product.do?id=NCP5007","NCP5007")</f>
        <v>NCP5007</v>
      </c>
      <c r="C284" t="str">
        <f>HYPERLINK("https://www.onsemi.com/pub/Collateral/NCP5007-D.PDF","NCP5007/D (148kB)")</f>
        <v>NCP5007/D (148kB)</v>
      </c>
      <c r="D284" t="s">
        <v>607</v>
      </c>
      <c r="E284" s="2" t="s">
        <v>24</v>
      </c>
      <c r="F284" t="s">
        <v>28</v>
      </c>
      <c r="G284" s="2" t="s">
        <v>15</v>
      </c>
      <c r="H284" s="2"/>
      <c r="I284" s="2" t="s">
        <v>17</v>
      </c>
      <c r="J284" s="2" t="s">
        <v>359</v>
      </c>
      <c r="K284" s="2" t="s">
        <v>223</v>
      </c>
      <c r="L284" s="2" t="s">
        <v>31</v>
      </c>
      <c r="M284" s="2" t="s">
        <v>501</v>
      </c>
      <c r="N284" s="2" t="s">
        <v>361</v>
      </c>
      <c r="O284" s="2" t="s">
        <v>470</v>
      </c>
      <c r="P284" s="2" t="s">
        <v>537</v>
      </c>
    </row>
    <row r="285" spans="1:16" ht="25.5">
      <c r="A285" s="5" t="s">
        <v>685</v>
      </c>
      <c r="B285" t="str">
        <f>HYPERLINK("https://www.onsemi.com/PowerSolutions/product.do?id=NCP5252","NCP5252")</f>
        <v>NCP5252</v>
      </c>
      <c r="C285" t="str">
        <f>HYPERLINK("https://www.onsemi.com/pub/Collateral/NCP5252-D.PDF","NCP5252/D (1079kB)")</f>
        <v>NCP5252/D (1079kB)</v>
      </c>
      <c r="D285" t="s">
        <v>608</v>
      </c>
      <c r="E285" s="2" t="s">
        <v>24</v>
      </c>
      <c r="F285" t="s">
        <v>28</v>
      </c>
      <c r="G285" s="2" t="s">
        <v>29</v>
      </c>
      <c r="H285" s="2"/>
      <c r="I285" s="2" t="s">
        <v>135</v>
      </c>
      <c r="J285" s="2" t="s">
        <v>45</v>
      </c>
      <c r="K285" s="2" t="s">
        <v>91</v>
      </c>
      <c r="L285" s="2" t="s">
        <v>345</v>
      </c>
      <c r="M285" s="2" t="s">
        <v>252</v>
      </c>
      <c r="N285" s="2" t="s">
        <v>609</v>
      </c>
      <c r="O285" s="2" t="s">
        <v>39</v>
      </c>
      <c r="P285" s="2" t="s">
        <v>207</v>
      </c>
    </row>
    <row r="286" spans="1:16" ht="25.5">
      <c r="A286" s="5" t="s">
        <v>686</v>
      </c>
      <c r="B286" t="str">
        <f>HYPERLINK("https://www.onsemi.com/PowerSolutions/product.do?id=NCP6324","NCP6324")</f>
        <v>NCP6324</v>
      </c>
      <c r="C286" t="str">
        <f>HYPERLINK("https://www.onsemi.com/pub/Collateral/NCP6324-D.PDF","NCP6324/D (323kB)")</f>
        <v>NCP6324/D (323kB)</v>
      </c>
      <c r="D286" t="s">
        <v>610</v>
      </c>
      <c r="E286" s="2" t="s">
        <v>24</v>
      </c>
      <c r="F286" t="s">
        <v>28</v>
      </c>
      <c r="G286" s="2" t="s">
        <v>29</v>
      </c>
      <c r="H286" s="2"/>
      <c r="I286" s="2" t="s">
        <v>135</v>
      </c>
      <c r="J286" s="2" t="s">
        <v>344</v>
      </c>
      <c r="K286" s="2" t="s">
        <v>223</v>
      </c>
      <c r="L286" s="2" t="s">
        <v>563</v>
      </c>
      <c r="M286" s="2" t="s">
        <v>252</v>
      </c>
      <c r="N286" s="2" t="s">
        <v>325</v>
      </c>
      <c r="O286" s="2" t="s">
        <v>384</v>
      </c>
      <c r="P286" s="2" t="s">
        <v>532</v>
      </c>
    </row>
    <row r="287" spans="1:16" ht="25.5">
      <c r="A287" s="5" t="s">
        <v>685</v>
      </c>
      <c r="B287" t="str">
        <f>HYPERLINK("https://www.onsemi.com/PowerSolutions/product.do?id=NCP6360","NCP6360")</f>
        <v>NCP6360</v>
      </c>
      <c r="C287" t="str">
        <f>HYPERLINK("https://www.onsemi.com/pub/Collateral/NCP6360-D.PDF","NCP6360/D (1620kB)")</f>
        <v>NCP6360/D (1620kB)</v>
      </c>
      <c r="D287" t="s">
        <v>611</v>
      </c>
      <c r="E287" s="2" t="s">
        <v>24</v>
      </c>
      <c r="F287" t="s">
        <v>28</v>
      </c>
      <c r="G287" s="2" t="s">
        <v>29</v>
      </c>
      <c r="H287" s="2"/>
      <c r="I287" s="2" t="s">
        <v>135</v>
      </c>
      <c r="J287" s="2" t="s">
        <v>359</v>
      </c>
      <c r="K287" s="2" t="s">
        <v>223</v>
      </c>
      <c r="L287" s="2" t="s">
        <v>612</v>
      </c>
      <c r="M287" s="2" t="s">
        <v>157</v>
      </c>
      <c r="N287" s="2" t="s">
        <v>463</v>
      </c>
      <c r="O287" s="2" t="s">
        <v>445</v>
      </c>
      <c r="P287" s="2" t="s">
        <v>411</v>
      </c>
    </row>
    <row r="288" spans="1:16" ht="25.5">
      <c r="A288" s="5" t="s">
        <v>685</v>
      </c>
      <c r="B288" t="str">
        <f>HYPERLINK("https://www.onsemi.com/PowerSolutions/product.do?id=NCP6922C","NCP6922C")</f>
        <v>NCP6922C</v>
      </c>
      <c r="C288" t="str">
        <f>HYPERLINK("https://www.onsemi.com/pub/Collateral/NCP6922C-D.PDF","NCP6922C/D (2157kB)")</f>
        <v>NCP6922C/D (2157kB)</v>
      </c>
      <c r="D288" t="s">
        <v>613</v>
      </c>
      <c r="E288" s="2" t="s">
        <v>24</v>
      </c>
      <c r="F288" t="s">
        <v>28</v>
      </c>
      <c r="G288" s="2" t="s">
        <v>29</v>
      </c>
      <c r="H288" s="2"/>
      <c r="I288" s="2" t="s">
        <v>135</v>
      </c>
      <c r="J288" s="2" t="s">
        <v>380</v>
      </c>
      <c r="K288" s="2" t="s">
        <v>223</v>
      </c>
      <c r="L288" s="2" t="s">
        <v>34</v>
      </c>
      <c r="M288" s="2" t="s">
        <v>157</v>
      </c>
      <c r="N288" s="2" t="s">
        <v>463</v>
      </c>
      <c r="O288" s="2" t="s">
        <v>384</v>
      </c>
      <c r="P288" s="2" t="s">
        <v>614</v>
      </c>
    </row>
    <row r="289" spans="1:16" ht="25.5">
      <c r="A289" s="5" t="s">
        <v>685</v>
      </c>
      <c r="B289" t="str">
        <f>HYPERLINK("https://www.onsemi.com/PowerSolutions/product.do?id=NCP6925","NCP6925")</f>
        <v>NCP6925</v>
      </c>
      <c r="D289" t="s">
        <v>615</v>
      </c>
      <c r="E289" s="2" t="s">
        <v>24</v>
      </c>
      <c r="F289" t="s">
        <v>28</v>
      </c>
      <c r="G289" s="2" t="s">
        <v>29</v>
      </c>
      <c r="H289" s="2"/>
      <c r="I289" s="2" t="s">
        <v>135</v>
      </c>
      <c r="J289" s="2" t="s">
        <v>344</v>
      </c>
      <c r="K289" s="2" t="s">
        <v>223</v>
      </c>
      <c r="L289" s="2" t="s">
        <v>34</v>
      </c>
      <c r="M289" s="2" t="s">
        <v>16</v>
      </c>
      <c r="N289" s="2" t="s">
        <v>463</v>
      </c>
      <c r="O289" s="2" t="s">
        <v>384</v>
      </c>
      <c r="P289" s="2" t="s">
        <v>616</v>
      </c>
    </row>
    <row r="290" spans="1:16" ht="25.5">
      <c r="A290" s="5" t="s">
        <v>686</v>
      </c>
      <c r="B290" t="str">
        <f>HYPERLINK("https://www.onsemi.com/PowerSolutions/product.do?id=NCP81178","NCP81178")</f>
        <v>NCP81178</v>
      </c>
      <c r="C290" t="str">
        <f>HYPERLINK("https://www.onsemi.com/pub/Collateral/NCP81178-D.PDF","NCP81178/D (187kB)")</f>
        <v>NCP81178/D (187kB)</v>
      </c>
      <c r="D290" t="s">
        <v>617</v>
      </c>
      <c r="E290" s="2" t="s">
        <v>24</v>
      </c>
      <c r="F290" t="s">
        <v>28</v>
      </c>
      <c r="G290" s="2" t="s">
        <v>90</v>
      </c>
      <c r="H290" s="2"/>
      <c r="I290" s="2" t="s">
        <v>351</v>
      </c>
      <c r="J290" s="2" t="s">
        <v>45</v>
      </c>
      <c r="K290" s="2" t="s">
        <v>618</v>
      </c>
      <c r="L290" s="2" t="s">
        <v>345</v>
      </c>
      <c r="M290" s="2" t="s">
        <v>345</v>
      </c>
      <c r="N290" s="2" t="s">
        <v>351</v>
      </c>
      <c r="O290" s="2" t="s">
        <v>595</v>
      </c>
      <c r="P290" s="2" t="s">
        <v>133</v>
      </c>
    </row>
    <row r="291" spans="1:16" ht="25.5">
      <c r="A291" s="5" t="s">
        <v>685</v>
      </c>
      <c r="B291" t="str">
        <f>HYPERLINK("https://www.onsemi.com/PowerSolutions/product.do?id=NCP81242","NCP81242")</f>
        <v>NCP81242</v>
      </c>
      <c r="C291" t="str">
        <f>HYPERLINK("https://www.onsemi.com/pub/Collateral/NCP81242-D.PDF","NCP81242/D (361kB)")</f>
        <v>NCP81242/D (361kB)</v>
      </c>
      <c r="D291" t="s">
        <v>265</v>
      </c>
      <c r="E291" s="2" t="s">
        <v>24</v>
      </c>
      <c r="F291" t="s">
        <v>28</v>
      </c>
      <c r="G291" s="2" t="s">
        <v>90</v>
      </c>
      <c r="H291" s="2"/>
      <c r="I291" s="2" t="s">
        <v>17</v>
      </c>
      <c r="J291" s="2" t="s">
        <v>241</v>
      </c>
      <c r="K291" s="2" t="s">
        <v>38</v>
      </c>
      <c r="L291" s="2" t="s">
        <v>345</v>
      </c>
      <c r="M291" s="2" t="s">
        <v>618</v>
      </c>
      <c r="N291" s="2" t="s">
        <v>351</v>
      </c>
      <c r="O291" s="2" t="s">
        <v>595</v>
      </c>
      <c r="P291" s="2" t="s">
        <v>203</v>
      </c>
    </row>
    <row r="292" spans="1:16" ht="25.5">
      <c r="A292" s="5" t="s">
        <v>685</v>
      </c>
      <c r="B292" t="str">
        <f>HYPERLINK("https://www.onsemi.com/PowerSolutions/product.do?id=NCP81250","NCP81250")</f>
        <v>NCP81250</v>
      </c>
      <c r="C292" t="str">
        <f>HYPERLINK("https://www.onsemi.com/pub/Collateral/NCP81250-D.PDF","NCP81250/D (362kB)")</f>
        <v>NCP81250/D (362kB)</v>
      </c>
      <c r="D292" t="s">
        <v>265</v>
      </c>
      <c r="E292" s="2" t="s">
        <v>24</v>
      </c>
      <c r="F292" t="s">
        <v>28</v>
      </c>
      <c r="G292" s="2" t="s">
        <v>29</v>
      </c>
      <c r="H292" s="2"/>
      <c r="I292" s="2" t="s">
        <v>135</v>
      </c>
      <c r="J292" s="2" t="s">
        <v>216</v>
      </c>
      <c r="K292" s="2" t="s">
        <v>266</v>
      </c>
      <c r="L292" s="2" t="s">
        <v>345</v>
      </c>
      <c r="M292" s="2" t="s">
        <v>618</v>
      </c>
      <c r="N292" s="2" t="s">
        <v>351</v>
      </c>
      <c r="O292" s="2" t="s">
        <v>239</v>
      </c>
      <c r="P292" s="2" t="s">
        <v>203</v>
      </c>
    </row>
    <row r="293" spans="1:16" ht="25.5">
      <c r="A293" s="5" t="s">
        <v>686</v>
      </c>
      <c r="B293" t="str">
        <f>HYPERLINK("https://www.onsemi.com/PowerSolutions/product.do?id=NCP81255","NCP81255")</f>
        <v>NCP81255</v>
      </c>
      <c r="C293" t="str">
        <f>HYPERLINK("https://www.onsemi.com/pub/Collateral/NCP81255-D.PDF","NCP81255/D (144kB)")</f>
        <v>NCP81255/D (144kB)</v>
      </c>
      <c r="D293" t="s">
        <v>267</v>
      </c>
      <c r="E293" s="2" t="s">
        <v>24</v>
      </c>
      <c r="F293" t="s">
        <v>28</v>
      </c>
      <c r="G293" s="2" t="s">
        <v>90</v>
      </c>
      <c r="H293" s="2"/>
      <c r="I293" s="2" t="s">
        <v>135</v>
      </c>
      <c r="J293" s="2" t="s">
        <v>216</v>
      </c>
      <c r="K293" s="2" t="s">
        <v>227</v>
      </c>
      <c r="L293" s="2" t="s">
        <v>351</v>
      </c>
      <c r="M293" s="2" t="s">
        <v>618</v>
      </c>
      <c r="N293" s="2" t="s">
        <v>351</v>
      </c>
      <c r="O293" s="2" t="s">
        <v>470</v>
      </c>
      <c r="P293" s="2" t="s">
        <v>200</v>
      </c>
    </row>
    <row r="294" spans="1:16" ht="51">
      <c r="A294" s="5" t="s">
        <v>686</v>
      </c>
      <c r="B294" t="str">
        <f>HYPERLINK("https://www.onsemi.com/PowerSolutions/product.do?id=NCV1060","NCV1060")</f>
        <v>NCV1060</v>
      </c>
      <c r="C294" t="str">
        <f>HYPERLINK("https://www.onsemi.com/pub/Collateral/NCV1060-D.PDF","NCV1060/D (425kB)")</f>
        <v>NCV1060/D (425kB)</v>
      </c>
      <c r="D294" t="s">
        <v>619</v>
      </c>
      <c r="E294" s="2" t="s">
        <v>35</v>
      </c>
      <c r="F294" t="s">
        <v>28</v>
      </c>
      <c r="G294" t="s">
        <v>23</v>
      </c>
      <c r="I294" t="s">
        <v>23</v>
      </c>
      <c r="J294" t="s">
        <v>23</v>
      </c>
      <c r="K294" t="s">
        <v>23</v>
      </c>
      <c r="L294" t="s">
        <v>23</v>
      </c>
      <c r="M294" t="s">
        <v>23</v>
      </c>
      <c r="N294" t="s">
        <v>23</v>
      </c>
      <c r="O294" t="s">
        <v>23</v>
      </c>
      <c r="P294" s="2" t="s">
        <v>513</v>
      </c>
    </row>
    <row r="295" spans="1:16" ht="51">
      <c r="A295" s="5" t="s">
        <v>686</v>
      </c>
      <c r="B295" t="str">
        <f>HYPERLINK("https://www.onsemi.com/PowerSolutions/product.do?id=NCV1063","NCV1063")</f>
        <v>NCV1063</v>
      </c>
      <c r="C295" t="str">
        <f>HYPERLINK("https://www.onsemi.com/pub/Collateral/NCV1060-D.PDF","NCV1060/D (425kB)")</f>
        <v>NCV1060/D (425kB)</v>
      </c>
      <c r="D295" t="s">
        <v>620</v>
      </c>
      <c r="E295" s="2" t="s">
        <v>35</v>
      </c>
      <c r="F295" t="s">
        <v>28</v>
      </c>
      <c r="G295" t="s">
        <v>23</v>
      </c>
      <c r="I295" t="s">
        <v>23</v>
      </c>
      <c r="J295" t="s">
        <v>23</v>
      </c>
      <c r="K295" t="s">
        <v>23</v>
      </c>
      <c r="L295" t="s">
        <v>23</v>
      </c>
      <c r="M295" t="s">
        <v>23</v>
      </c>
      <c r="N295" t="s">
        <v>23</v>
      </c>
      <c r="O295" t="s">
        <v>23</v>
      </c>
      <c r="P295" s="2" t="s">
        <v>40</v>
      </c>
    </row>
    <row r="296" spans="1:16" ht="51">
      <c r="A296" s="5" t="s">
        <v>686</v>
      </c>
      <c r="B296" t="str">
        <f>HYPERLINK("https://www.onsemi.com/PowerSolutions/product.do?id=NCV2575","NCV2575")</f>
        <v>NCV2575</v>
      </c>
      <c r="C296" t="str">
        <f>HYPERLINK("https://www.onsemi.com/pub/Collateral/LM2575-D.PDF","LM2575/D (492.0kB)")</f>
        <v>LM2575/D (492.0kB)</v>
      </c>
      <c r="D296" t="s">
        <v>622</v>
      </c>
      <c r="E296" s="2" t="s">
        <v>35</v>
      </c>
      <c r="F296" t="s">
        <v>28</v>
      </c>
      <c r="G296" s="2" t="s">
        <v>29</v>
      </c>
      <c r="H296" s="2"/>
      <c r="I296" s="2" t="s">
        <v>169</v>
      </c>
      <c r="J296" s="2" t="s">
        <v>216</v>
      </c>
      <c r="K296" s="2" t="s">
        <v>119</v>
      </c>
      <c r="L296" s="2" t="s">
        <v>623</v>
      </c>
      <c r="M296" s="2" t="s">
        <v>16</v>
      </c>
      <c r="N296" s="2" t="s">
        <v>434</v>
      </c>
      <c r="O296" s="2" t="s">
        <v>114</v>
      </c>
      <c r="P296" s="2" t="s">
        <v>624</v>
      </c>
    </row>
    <row r="297" spans="1:16" ht="51">
      <c r="A297" s="5" t="s">
        <v>686</v>
      </c>
      <c r="B297" t="str">
        <f>HYPERLINK("https://www.onsemi.com/PowerSolutions/product.do?id=NCV3063","NCV3063")</f>
        <v>NCV3063</v>
      </c>
      <c r="C297" t="str">
        <f>HYPERLINK("https://www.onsemi.com/pub/Collateral/NCP3063-D.PDF","NCP3063/D (358.0kB)")</f>
        <v>NCP3063/D (358.0kB)</v>
      </c>
      <c r="D297" t="s">
        <v>625</v>
      </c>
      <c r="E297" s="2" t="s">
        <v>35</v>
      </c>
      <c r="F297" t="s">
        <v>28</v>
      </c>
      <c r="G297" s="2" t="s">
        <v>515</v>
      </c>
      <c r="H297" s="2"/>
      <c r="I297" s="2" t="s">
        <v>44</v>
      </c>
      <c r="J297" s="2" t="s">
        <v>346</v>
      </c>
      <c r="K297" s="2" t="s">
        <v>119</v>
      </c>
      <c r="L297" s="2" t="s">
        <v>516</v>
      </c>
      <c r="M297" s="2" t="s">
        <v>355</v>
      </c>
      <c r="N297" s="2" t="s">
        <v>434</v>
      </c>
      <c r="O297" s="2" t="s">
        <v>190</v>
      </c>
      <c r="P297" s="2" t="s">
        <v>530</v>
      </c>
    </row>
    <row r="298" spans="1:16" ht="51">
      <c r="A298" s="5" t="s">
        <v>686</v>
      </c>
      <c r="B298" t="str">
        <f>HYPERLINK("https://www.onsemi.com/PowerSolutions/product.do?id=NCV3064","NCV3064")</f>
        <v>NCV3064</v>
      </c>
      <c r="C298" t="str">
        <f>HYPERLINK("https://www.onsemi.com/pub/Collateral/NCP3064-D.PDF","NCP3064/D (1501kB)")</f>
        <v>NCP3064/D (1501kB)</v>
      </c>
      <c r="D298" t="s">
        <v>626</v>
      </c>
      <c r="E298" s="2" t="s">
        <v>35</v>
      </c>
      <c r="F298" t="s">
        <v>28</v>
      </c>
      <c r="G298" s="2" t="s">
        <v>515</v>
      </c>
      <c r="H298" s="2"/>
      <c r="I298" s="2" t="s">
        <v>44</v>
      </c>
      <c r="J298" s="2" t="s">
        <v>346</v>
      </c>
      <c r="K298" s="2" t="s">
        <v>119</v>
      </c>
      <c r="L298" s="2" t="s">
        <v>516</v>
      </c>
      <c r="M298" s="2" t="s">
        <v>355</v>
      </c>
      <c r="N298" s="2" t="s">
        <v>434</v>
      </c>
      <c r="O298" s="2" t="s">
        <v>314</v>
      </c>
      <c r="P298" s="2" t="s">
        <v>530</v>
      </c>
    </row>
    <row r="299" spans="1:16" ht="51">
      <c r="A299" s="5" t="s">
        <v>686</v>
      </c>
      <c r="B299" t="str">
        <f>HYPERLINK("https://www.onsemi.com/PowerSolutions/product.do?id=NCV3163","NCV3163")</f>
        <v>NCV3163</v>
      </c>
      <c r="C299" t="str">
        <f>HYPERLINK("https://www.onsemi.com/pub/Collateral/NCP3163-D.PDF","NCP3163/D (250kB)")</f>
        <v>NCP3163/D (250kB)</v>
      </c>
      <c r="D299" t="s">
        <v>627</v>
      </c>
      <c r="E299" s="2" t="s">
        <v>35</v>
      </c>
      <c r="F299" t="s">
        <v>28</v>
      </c>
      <c r="G299" s="2" t="s">
        <v>515</v>
      </c>
      <c r="H299" s="2"/>
      <c r="I299" s="2" t="s">
        <v>44</v>
      </c>
      <c r="J299" s="2" t="s">
        <v>344</v>
      </c>
      <c r="K299" s="2" t="s">
        <v>119</v>
      </c>
      <c r="L299" s="2" t="s">
        <v>516</v>
      </c>
      <c r="M299" s="2" t="s">
        <v>346</v>
      </c>
      <c r="N299" s="2" t="s">
        <v>347</v>
      </c>
      <c r="O299" s="2" t="s">
        <v>314</v>
      </c>
      <c r="P299" s="2" t="s">
        <v>589</v>
      </c>
    </row>
    <row r="300" spans="1:16" ht="51">
      <c r="A300" s="5" t="s">
        <v>686</v>
      </c>
      <c r="B300" t="str">
        <f>HYPERLINK("https://www.onsemi.com/PowerSolutions/product.do?id=NCV33063AV","NCV33063AV")</f>
        <v>NCV33063AV</v>
      </c>
      <c r="C300" t="str">
        <f>HYPERLINK("https://www.onsemi.com/pub/Collateral/MC34063A-D.PDF","MC34063A/D (1266kB)")</f>
        <v>MC34063A/D (1266kB)</v>
      </c>
      <c r="D300" t="s">
        <v>625</v>
      </c>
      <c r="E300" s="2" t="s">
        <v>49</v>
      </c>
      <c r="F300" t="s">
        <v>28</v>
      </c>
      <c r="G300" s="2" t="s">
        <v>515</v>
      </c>
      <c r="H300" s="2"/>
      <c r="I300" s="2" t="s">
        <v>44</v>
      </c>
      <c r="J300" s="2" t="s">
        <v>346</v>
      </c>
      <c r="K300" s="2" t="s">
        <v>119</v>
      </c>
      <c r="L300" s="2" t="s">
        <v>516</v>
      </c>
      <c r="M300" s="2" t="s">
        <v>355</v>
      </c>
      <c r="N300" t="s">
        <v>23</v>
      </c>
      <c r="O300" s="2" t="s">
        <v>96</v>
      </c>
      <c r="P300" s="2" t="s">
        <v>517</v>
      </c>
    </row>
    <row r="301" spans="1:16" ht="51">
      <c r="A301" s="5" t="s">
        <v>686</v>
      </c>
      <c r="B301" t="str">
        <f>HYPERLINK("https://www.onsemi.com/PowerSolutions/product.do?id=NCV33163","NCV33163")</f>
        <v>NCV33163</v>
      </c>
      <c r="C301" t="str">
        <f>HYPERLINK("https://www.onsemi.com/pub/Collateral/NCV33163-D.PDF","NCV33163/D (224kB)")</f>
        <v>NCV33163/D (224kB)</v>
      </c>
      <c r="D301" t="s">
        <v>628</v>
      </c>
      <c r="E301" s="2" t="s">
        <v>35</v>
      </c>
      <c r="F301" t="s">
        <v>28</v>
      </c>
      <c r="G301" s="2" t="s">
        <v>420</v>
      </c>
      <c r="H301" s="2"/>
      <c r="I301" s="2" t="s">
        <v>135</v>
      </c>
      <c r="J301" s="2" t="s">
        <v>344</v>
      </c>
      <c r="K301" s="2" t="s">
        <v>629</v>
      </c>
      <c r="L301" s="2" t="s">
        <v>516</v>
      </c>
      <c r="M301" s="2" t="s">
        <v>418</v>
      </c>
      <c r="N301" s="2" t="s">
        <v>347</v>
      </c>
      <c r="O301" s="2" t="s">
        <v>630</v>
      </c>
      <c r="P301" s="2" t="s">
        <v>520</v>
      </c>
    </row>
    <row r="302" spans="1:16" ht="51">
      <c r="A302" s="5" t="s">
        <v>686</v>
      </c>
      <c r="B302" t="str">
        <f>HYPERLINK("https://www.onsemi.com/PowerSolutions/product.do?id=NCV51411","NCV51411")</f>
        <v>NCV51411</v>
      </c>
      <c r="C302" t="str">
        <f>HYPERLINK("https://www.onsemi.com/pub/Collateral/NCV51411-D.PDF","NCV51411/D (245kB)")</f>
        <v>NCV51411/D (245kB)</v>
      </c>
      <c r="D302" t="s">
        <v>631</v>
      </c>
      <c r="E302" s="2" t="s">
        <v>35</v>
      </c>
      <c r="F302" t="s">
        <v>28</v>
      </c>
      <c r="G302" s="2" t="s">
        <v>29</v>
      </c>
      <c r="H302" s="2"/>
      <c r="I302" s="2" t="s">
        <v>354</v>
      </c>
      <c r="J302" s="2" t="s">
        <v>45</v>
      </c>
      <c r="K302" s="2" t="s">
        <v>119</v>
      </c>
      <c r="L302" s="2" t="s">
        <v>351</v>
      </c>
      <c r="M302" s="2" t="s">
        <v>355</v>
      </c>
      <c r="N302" s="2" t="s">
        <v>347</v>
      </c>
      <c r="O302" s="2" t="s">
        <v>632</v>
      </c>
      <c r="P302" s="2" t="s">
        <v>633</v>
      </c>
    </row>
    <row r="303" spans="1:16" ht="51">
      <c r="A303" s="5" t="s">
        <v>686</v>
      </c>
      <c r="B303" t="str">
        <f>HYPERLINK("https://www.onsemi.com/PowerSolutions/product.do?id=NCV5171","NCV5171")</f>
        <v>NCV5171</v>
      </c>
      <c r="C303" t="str">
        <f>HYPERLINK("https://www.onsemi.com/pub/Collateral/NCV5171-D.PDF","NCV5171/D (305kB)")</f>
        <v>NCV5171/D (305kB)</v>
      </c>
      <c r="D303" t="s">
        <v>634</v>
      </c>
      <c r="E303" s="2" t="s">
        <v>35</v>
      </c>
      <c r="F303" t="s">
        <v>28</v>
      </c>
      <c r="G303" s="2" t="s">
        <v>15</v>
      </c>
      <c r="H303" s="2"/>
      <c r="I303" s="2" t="s">
        <v>17</v>
      </c>
      <c r="J303" s="2" t="s">
        <v>359</v>
      </c>
      <c r="K303" s="2" t="s">
        <v>324</v>
      </c>
      <c r="L303" s="2" t="s">
        <v>635</v>
      </c>
      <c r="M303" s="2" t="s">
        <v>355</v>
      </c>
      <c r="N303" s="2" t="s">
        <v>347</v>
      </c>
      <c r="O303" s="2" t="s">
        <v>549</v>
      </c>
      <c r="P303" s="2" t="s">
        <v>21</v>
      </c>
    </row>
    <row r="304" spans="1:16" ht="51">
      <c r="A304" s="5" t="s">
        <v>686</v>
      </c>
      <c r="B304" t="str">
        <f>HYPERLINK("https://www.onsemi.com/PowerSolutions/product.do?id=NCV5173","NCV5173")</f>
        <v>NCV5173</v>
      </c>
      <c r="C304" t="str">
        <f>HYPERLINK("https://www.onsemi.com/pub/Collateral/NCV5171-D.PDF","NCV5171/D (305kB)")</f>
        <v>NCV5171/D (305kB)</v>
      </c>
      <c r="D304" t="s">
        <v>636</v>
      </c>
      <c r="E304" s="2" t="s">
        <v>35</v>
      </c>
      <c r="F304" t="s">
        <v>28</v>
      </c>
      <c r="G304" s="2" t="s">
        <v>15</v>
      </c>
      <c r="H304" s="2"/>
      <c r="I304" s="2" t="s">
        <v>17</v>
      </c>
      <c r="J304" s="2" t="s">
        <v>359</v>
      </c>
      <c r="K304" s="2" t="s">
        <v>324</v>
      </c>
      <c r="L304" s="2" t="s">
        <v>635</v>
      </c>
      <c r="M304" s="2" t="s">
        <v>355</v>
      </c>
      <c r="N304" s="2" t="s">
        <v>347</v>
      </c>
      <c r="O304" s="2" t="s">
        <v>549</v>
      </c>
      <c r="P304" s="2" t="s">
        <v>21</v>
      </c>
    </row>
    <row r="305" spans="1:16" ht="51">
      <c r="A305" s="5" t="s">
        <v>686</v>
      </c>
      <c r="B305" t="str">
        <f>HYPERLINK("https://www.onsemi.com/PowerSolutions/product.do?id=NCV6323","NCV6323")</f>
        <v>NCV6323</v>
      </c>
      <c r="C305" t="str">
        <f>HYPERLINK("https://www.onsemi.com/pub/Collateral/NCV6323-D.PDF","NCV6323/D (732kB)")</f>
        <v>NCV6323/D (732kB)</v>
      </c>
      <c r="D305" t="s">
        <v>637</v>
      </c>
      <c r="E305" s="2" t="s">
        <v>49</v>
      </c>
      <c r="F305" t="s">
        <v>28</v>
      </c>
      <c r="G305" s="2" t="s">
        <v>29</v>
      </c>
      <c r="H305" s="2"/>
      <c r="I305" s="2" t="s">
        <v>135</v>
      </c>
      <c r="J305" s="2" t="s">
        <v>344</v>
      </c>
      <c r="K305" s="2" t="s">
        <v>223</v>
      </c>
      <c r="L305" s="2" t="s">
        <v>563</v>
      </c>
      <c r="M305" s="2" t="s">
        <v>252</v>
      </c>
      <c r="N305" s="2" t="s">
        <v>325</v>
      </c>
      <c r="O305" s="2" t="s">
        <v>384</v>
      </c>
      <c r="P305" s="2" t="s">
        <v>638</v>
      </c>
    </row>
    <row r="306" spans="1:16" ht="51">
      <c r="A306" s="5" t="s">
        <v>686</v>
      </c>
      <c r="B306" t="str">
        <f>HYPERLINK("https://www.onsemi.com/PowerSolutions/product.do?id=NCV6324","NCV6324")</f>
        <v>NCV6324</v>
      </c>
      <c r="C306" t="str">
        <f>HYPERLINK("https://www.onsemi.com/pub/Collateral/NCP6324-D.PDF","NCP6324/D (323kB)")</f>
        <v>NCP6324/D (323kB)</v>
      </c>
      <c r="D306" t="s">
        <v>610</v>
      </c>
      <c r="E306" s="2" t="s">
        <v>35</v>
      </c>
      <c r="F306" t="s">
        <v>28</v>
      </c>
      <c r="G306" s="2" t="s">
        <v>29</v>
      </c>
      <c r="H306" s="2"/>
      <c r="I306" s="2" t="s">
        <v>135</v>
      </c>
      <c r="J306" s="2" t="s">
        <v>344</v>
      </c>
      <c r="K306" s="2" t="s">
        <v>223</v>
      </c>
      <c r="L306" s="2" t="s">
        <v>563</v>
      </c>
      <c r="M306" s="2" t="s">
        <v>252</v>
      </c>
      <c r="N306" s="2" t="s">
        <v>325</v>
      </c>
      <c r="O306" s="2" t="s">
        <v>384</v>
      </c>
      <c r="P306" s="2" t="s">
        <v>638</v>
      </c>
    </row>
    <row r="307" spans="1:16" ht="51">
      <c r="A307" s="5" t="s">
        <v>686</v>
      </c>
      <c r="B307" t="str">
        <f>HYPERLINK("https://www.onsemi.com/PowerSolutions/product.do?id=NCV6334","NCV6334")</f>
        <v>NCV6334</v>
      </c>
      <c r="C307" t="str">
        <f>HYPERLINK("https://www.onsemi.com/pub/Collateral/NCV6334B-D.PDF","NCV6334B/D (254kB)")</f>
        <v>NCV6334B/D (254kB)</v>
      </c>
      <c r="D307" t="s">
        <v>639</v>
      </c>
      <c r="E307" s="2" t="s">
        <v>35</v>
      </c>
      <c r="F307" t="s">
        <v>28</v>
      </c>
      <c r="G307" s="2" t="s">
        <v>29</v>
      </c>
      <c r="H307" s="2"/>
      <c r="I307" s="2" t="s">
        <v>135</v>
      </c>
      <c r="J307" s="2" t="s">
        <v>380</v>
      </c>
      <c r="K307" s="2" t="s">
        <v>223</v>
      </c>
      <c r="L307" s="2" t="s">
        <v>563</v>
      </c>
      <c r="M307" s="2" t="s">
        <v>252</v>
      </c>
      <c r="N307" s="2" t="s">
        <v>325</v>
      </c>
      <c r="O307" s="2" t="s">
        <v>384</v>
      </c>
      <c r="P307" s="2" t="s">
        <v>532</v>
      </c>
    </row>
    <row r="308" spans="1:16" ht="51">
      <c r="A308" s="5" t="s">
        <v>686</v>
      </c>
      <c r="B308" t="str">
        <f>HYPERLINK("https://www.onsemi.com/PowerSolutions/product.do?id=NCV6336BM","NCV6336BM")</f>
        <v>NCV6336BM</v>
      </c>
      <c r="C308" t="str">
        <f>HYPERLINK("https://www.onsemi.com/pub/Collateral/NCV6336BM-D.PDF","NCV6336BM/D (1769kB)")</f>
        <v>NCV6336BM/D (1769kB)</v>
      </c>
      <c r="D308" t="s">
        <v>640</v>
      </c>
      <c r="E308" s="2" t="s">
        <v>35</v>
      </c>
      <c r="F308" t="s">
        <v>28</v>
      </c>
      <c r="G308" s="2" t="s">
        <v>29</v>
      </c>
      <c r="H308" s="2"/>
      <c r="I308" s="2" t="s">
        <v>135</v>
      </c>
      <c r="J308" s="2" t="s">
        <v>380</v>
      </c>
      <c r="K308" s="2" t="s">
        <v>223</v>
      </c>
      <c r="L308" s="2" t="s">
        <v>641</v>
      </c>
      <c r="M308" s="2" t="s">
        <v>241</v>
      </c>
      <c r="N308" s="2" t="s">
        <v>409</v>
      </c>
      <c r="O308" s="2" t="s">
        <v>642</v>
      </c>
      <c r="P308" s="2" t="s">
        <v>416</v>
      </c>
    </row>
    <row r="309" spans="1:16" ht="51">
      <c r="A309" s="5" t="s">
        <v>686</v>
      </c>
      <c r="B309" t="str">
        <f>HYPERLINK("https://www.onsemi.com/PowerSolutions/product.do?id=NCV6356","NCV6356")</f>
        <v>NCV6356</v>
      </c>
      <c r="C309" t="str">
        <f>HYPERLINK("https://www.onsemi.com/pub/Collateral/NCV6356-D.PDF","NCV6356/D (2276kB)")</f>
        <v>NCV6356/D (2276kB)</v>
      </c>
      <c r="D309" t="s">
        <v>643</v>
      </c>
      <c r="E309" s="2" t="s">
        <v>35</v>
      </c>
      <c r="F309" t="s">
        <v>28</v>
      </c>
      <c r="G309" s="2" t="s">
        <v>29</v>
      </c>
      <c r="H309" s="2"/>
      <c r="I309" s="2" t="s">
        <v>135</v>
      </c>
      <c r="J309" s="2" t="s">
        <v>344</v>
      </c>
      <c r="K309" s="2" t="s">
        <v>223</v>
      </c>
      <c r="L309" s="2" t="s">
        <v>644</v>
      </c>
      <c r="M309" s="2" t="s">
        <v>645</v>
      </c>
      <c r="N309" s="2" t="s">
        <v>597</v>
      </c>
      <c r="O309" s="2" t="s">
        <v>348</v>
      </c>
      <c r="P309" s="2" t="s">
        <v>646</v>
      </c>
    </row>
    <row r="310" spans="1:16" ht="51">
      <c r="A310" s="5" t="s">
        <v>686</v>
      </c>
      <c r="B310" t="str">
        <f>HYPERLINK("https://www.onsemi.com/PowerSolutions/product.do?id=NCV6357","NCV6357")</f>
        <v>NCV6357</v>
      </c>
      <c r="C310" t="str">
        <f>HYPERLINK("https://www.onsemi.com/pub/Collateral/NCV6357-D.PDF","NCV6357/D (2322kB)")</f>
        <v>NCV6357/D (2322kB)</v>
      </c>
      <c r="D310" t="s">
        <v>643</v>
      </c>
      <c r="E310" s="2" t="s">
        <v>35</v>
      </c>
      <c r="F310" t="s">
        <v>28</v>
      </c>
      <c r="G310" s="2" t="s">
        <v>29</v>
      </c>
      <c r="H310" s="2"/>
      <c r="I310" s="2" t="s">
        <v>135</v>
      </c>
      <c r="J310" s="2" t="s">
        <v>344</v>
      </c>
      <c r="K310" s="2" t="s">
        <v>241</v>
      </c>
      <c r="L310" s="2" t="s">
        <v>647</v>
      </c>
      <c r="M310" s="2" t="s">
        <v>241</v>
      </c>
      <c r="N310" s="2" t="s">
        <v>597</v>
      </c>
      <c r="O310" s="2" t="s">
        <v>348</v>
      </c>
      <c r="P310" s="2" t="s">
        <v>646</v>
      </c>
    </row>
    <row r="311" spans="1:16" ht="51">
      <c r="A311" s="5" t="s">
        <v>686</v>
      </c>
      <c r="B311" t="str">
        <f>HYPERLINK("https://www.onsemi.com/PowerSolutions/product.do?id=NCV8843","NCV8843")</f>
        <v>NCV8843</v>
      </c>
      <c r="C311" t="str">
        <f>HYPERLINK("https://www.onsemi.com/pub/Collateral/NCV8843-D.PDF","NCV8843/D (363kB)")</f>
        <v>NCV8843/D (363kB)</v>
      </c>
      <c r="D311" t="s">
        <v>648</v>
      </c>
      <c r="E311" s="2" t="s">
        <v>35</v>
      </c>
      <c r="F311" t="s">
        <v>28</v>
      </c>
      <c r="G311" s="2" t="s">
        <v>29</v>
      </c>
      <c r="H311" s="2"/>
      <c r="I311" s="2" t="s">
        <v>354</v>
      </c>
      <c r="J311" s="2" t="s">
        <v>376</v>
      </c>
      <c r="K311" s="2" t="s">
        <v>119</v>
      </c>
      <c r="L311" s="2" t="s">
        <v>649</v>
      </c>
      <c r="M311" s="2" t="s">
        <v>355</v>
      </c>
      <c r="N311" s="2" t="s">
        <v>351</v>
      </c>
      <c r="O311" s="2" t="s">
        <v>560</v>
      </c>
      <c r="P311" s="2" t="s">
        <v>650</v>
      </c>
    </row>
    <row r="312" spans="1:16" ht="51">
      <c r="A312" s="5" t="s">
        <v>685</v>
      </c>
      <c r="B312" t="str">
        <f>HYPERLINK("https://www.onsemi.com/PowerSolutions/product.do?id=NCV8881","NCV8881")</f>
        <v>NCV8881</v>
      </c>
      <c r="C312" t="str">
        <f>HYPERLINK("https://www.onsemi.com/pub/Collateral/NCV8881-D.PDF","NCV8881/D (333kB)")</f>
        <v>NCV8881/D (333kB)</v>
      </c>
      <c r="D312" t="s">
        <v>651</v>
      </c>
      <c r="E312" s="2" t="s">
        <v>35</v>
      </c>
      <c r="F312" t="s">
        <v>28</v>
      </c>
      <c r="G312" s="2" t="s">
        <v>29</v>
      </c>
      <c r="H312" s="2"/>
      <c r="I312" s="2" t="s">
        <v>135</v>
      </c>
      <c r="J312" s="2" t="s">
        <v>241</v>
      </c>
      <c r="K312" s="2" t="s">
        <v>119</v>
      </c>
      <c r="L312" s="2" t="s">
        <v>652</v>
      </c>
      <c r="M312" s="2" t="s">
        <v>355</v>
      </c>
      <c r="N312" s="2" t="s">
        <v>351</v>
      </c>
      <c r="O312" s="2" t="s">
        <v>176</v>
      </c>
      <c r="P312" s="2" t="s">
        <v>653</v>
      </c>
    </row>
    <row r="313" spans="1:16" ht="38.25">
      <c r="A313" s="5" t="s">
        <v>685</v>
      </c>
      <c r="B313" t="str">
        <f>HYPERLINK("https://www.onsemi.com/PowerSolutions/product.do?id=NCV890100","NCV890100")</f>
        <v>NCV890100</v>
      </c>
      <c r="C313" t="str">
        <f>HYPERLINK("https://www.onsemi.com/pub/Collateral/NCV890100-D.PDF","NCV890100/D (209kB)")</f>
        <v>NCV890100/D (209kB)</v>
      </c>
      <c r="D313" t="s">
        <v>654</v>
      </c>
      <c r="E313" s="2" t="s">
        <v>13</v>
      </c>
      <c r="F313" t="s">
        <v>28</v>
      </c>
      <c r="G313" s="2" t="s">
        <v>29</v>
      </c>
      <c r="H313" s="2"/>
      <c r="I313" s="2" t="s">
        <v>17</v>
      </c>
      <c r="J313" s="2" t="s">
        <v>45</v>
      </c>
      <c r="K313" s="2" t="s">
        <v>119</v>
      </c>
      <c r="L313" s="2" t="s">
        <v>345</v>
      </c>
      <c r="M313" s="2" t="s">
        <v>34</v>
      </c>
      <c r="N313" s="2" t="s">
        <v>351</v>
      </c>
      <c r="O313" s="2" t="s">
        <v>556</v>
      </c>
      <c r="P313" s="2" t="s">
        <v>655</v>
      </c>
    </row>
    <row r="314" spans="1:16" ht="38.25">
      <c r="A314" s="5" t="s">
        <v>685</v>
      </c>
      <c r="B314" t="str">
        <f>HYPERLINK("https://www.onsemi.com/PowerSolutions/product.do?id=NCV890101","NCV890101")</f>
        <v>NCV890101</v>
      </c>
      <c r="C314" t="str">
        <f>HYPERLINK("https://www.onsemi.com/pub/Collateral/NCV890101-D.PDF","NCV890101/D (213kB)")</f>
        <v>NCV890101/D (213kB)</v>
      </c>
      <c r="D314" t="s">
        <v>654</v>
      </c>
      <c r="E314" s="2" t="s">
        <v>13</v>
      </c>
      <c r="F314" t="s">
        <v>28</v>
      </c>
      <c r="G314" s="2" t="s">
        <v>29</v>
      </c>
      <c r="H314" s="2"/>
      <c r="I314" s="2" t="s">
        <v>17</v>
      </c>
      <c r="J314" s="2" t="s">
        <v>45</v>
      </c>
      <c r="K314" s="2" t="s">
        <v>119</v>
      </c>
      <c r="L314" s="2" t="s">
        <v>345</v>
      </c>
      <c r="M314" s="2" t="s">
        <v>34</v>
      </c>
      <c r="N314" s="2" t="s">
        <v>351</v>
      </c>
      <c r="O314" s="2" t="s">
        <v>656</v>
      </c>
      <c r="P314" s="2" t="s">
        <v>133</v>
      </c>
    </row>
    <row r="315" spans="1:16" ht="51">
      <c r="A315" s="5" t="s">
        <v>686</v>
      </c>
      <c r="B315" t="str">
        <f>HYPERLINK("https://www.onsemi.com/PowerSolutions/product.do?id=NCV890103","NCV890103")</f>
        <v>NCV890103</v>
      </c>
      <c r="C315" t="str">
        <f>HYPERLINK("https://www.onsemi.com/pub/Collateral/NCV890103-D.PDF","NCV890103/D (221kB)")</f>
        <v>NCV890103/D (221kB)</v>
      </c>
      <c r="D315" t="s">
        <v>657</v>
      </c>
      <c r="E315" s="2" t="s">
        <v>35</v>
      </c>
      <c r="F315" t="s">
        <v>28</v>
      </c>
      <c r="G315" s="2" t="s">
        <v>29</v>
      </c>
      <c r="H315" s="2"/>
      <c r="I315" s="2" t="s">
        <v>17</v>
      </c>
      <c r="J315" s="2" t="s">
        <v>45</v>
      </c>
      <c r="K315" s="2" t="s">
        <v>119</v>
      </c>
      <c r="L315" s="2" t="s">
        <v>101</v>
      </c>
      <c r="M315" s="2" t="s">
        <v>34</v>
      </c>
      <c r="N315" s="2" t="s">
        <v>351</v>
      </c>
      <c r="O315" s="2" t="s">
        <v>305</v>
      </c>
      <c r="P315" s="2" t="s">
        <v>133</v>
      </c>
    </row>
    <row r="316" spans="1:16" ht="51">
      <c r="A316" s="5" t="s">
        <v>685</v>
      </c>
      <c r="B316" t="str">
        <f>HYPERLINK("https://www.onsemi.com/PowerSolutions/product.do?id=NCV890104","NCV890104")</f>
        <v>NCV890104</v>
      </c>
      <c r="C316" t="str">
        <f>HYPERLINK("https://www.onsemi.com/pub/Collateral/NCV890104-D.PDF","NCV890104/D (364kB)")</f>
        <v>NCV890104/D (364kB)</v>
      </c>
      <c r="D316" t="s">
        <v>658</v>
      </c>
      <c r="E316" s="2" t="s">
        <v>35</v>
      </c>
      <c r="F316" t="s">
        <v>28</v>
      </c>
      <c r="G316" s="2" t="s">
        <v>29</v>
      </c>
      <c r="H316" s="2"/>
      <c r="I316" s="2" t="s">
        <v>17</v>
      </c>
      <c r="J316" s="2" t="s">
        <v>45</v>
      </c>
      <c r="K316" s="2" t="s">
        <v>119</v>
      </c>
      <c r="L316" s="2" t="s">
        <v>101</v>
      </c>
      <c r="M316" s="2" t="s">
        <v>34</v>
      </c>
      <c r="N316" s="2" t="s">
        <v>351</v>
      </c>
      <c r="O316" s="2" t="s">
        <v>305</v>
      </c>
      <c r="P316" s="2" t="s">
        <v>659</v>
      </c>
    </row>
    <row r="317" spans="1:16" ht="38.25">
      <c r="A317" s="5" t="s">
        <v>685</v>
      </c>
      <c r="B317" t="str">
        <f>HYPERLINK("https://www.onsemi.com/PowerSolutions/product.do?id=NCV890130","NCV890130")</f>
        <v>NCV890130</v>
      </c>
      <c r="C317" t="str">
        <f>HYPERLINK("https://www.onsemi.com/pub/Collateral/NCV890130-D.PDF","NCV890130/D (210kB)")</f>
        <v>NCV890130/D (210kB)</v>
      </c>
      <c r="D317" t="s">
        <v>660</v>
      </c>
      <c r="E317" s="2" t="s">
        <v>13</v>
      </c>
      <c r="F317" t="s">
        <v>28</v>
      </c>
      <c r="G317" s="2" t="s">
        <v>29</v>
      </c>
      <c r="H317" s="2"/>
      <c r="I317" s="2" t="s">
        <v>17</v>
      </c>
      <c r="J317" s="2" t="s">
        <v>45</v>
      </c>
      <c r="K317" s="2" t="s">
        <v>292</v>
      </c>
      <c r="L317" s="2" t="s">
        <v>345</v>
      </c>
      <c r="M317" s="2" t="s">
        <v>34</v>
      </c>
      <c r="N317" s="2" t="s">
        <v>351</v>
      </c>
      <c r="O317" s="2" t="s">
        <v>656</v>
      </c>
      <c r="P317" s="2" t="s">
        <v>655</v>
      </c>
    </row>
    <row r="318" spans="1:16" ht="38.25">
      <c r="A318" s="5" t="s">
        <v>686</v>
      </c>
      <c r="B318" t="str">
        <f>HYPERLINK("https://www.onsemi.com/PowerSolutions/product.do?id=NCV890131","NCV890131")</f>
        <v>NCV890131</v>
      </c>
      <c r="C318" t="str">
        <f>HYPERLINK("https://www.onsemi.com/pub/Collateral/NCV890131-D.PDF","NCV890131/D (214kB)")</f>
        <v>NCV890131/D (214kB)</v>
      </c>
      <c r="D318" t="s">
        <v>661</v>
      </c>
      <c r="E318" s="2" t="s">
        <v>13</v>
      </c>
      <c r="F318" t="s">
        <v>28</v>
      </c>
      <c r="G318" s="2" t="s">
        <v>29</v>
      </c>
      <c r="H318" s="2"/>
      <c r="I318" s="2" t="s">
        <v>17</v>
      </c>
      <c r="J318" s="2" t="s">
        <v>45</v>
      </c>
      <c r="K318" s="2" t="s">
        <v>292</v>
      </c>
      <c r="L318" s="2" t="s">
        <v>345</v>
      </c>
      <c r="M318" s="2" t="s">
        <v>34</v>
      </c>
      <c r="N318" s="2" t="s">
        <v>351</v>
      </c>
      <c r="O318" s="2" t="s">
        <v>656</v>
      </c>
      <c r="P318" s="2" t="s">
        <v>133</v>
      </c>
    </row>
    <row r="319" spans="1:16" ht="38.25">
      <c r="A319" s="5" t="s">
        <v>686</v>
      </c>
      <c r="B319" t="str">
        <f>HYPERLINK("https://www.onsemi.com/PowerSolutions/product.do?id=NCV890200","NCV890200")</f>
        <v>NCV890200</v>
      </c>
      <c r="C319" t="str">
        <f>HYPERLINK("https://www.onsemi.com/pub/Collateral/NCV890200-D.PDF","NCV890200/D (201kB)")</f>
        <v>NCV890200/D (201kB)</v>
      </c>
      <c r="D319" t="s">
        <v>662</v>
      </c>
      <c r="E319" s="2" t="s">
        <v>13</v>
      </c>
      <c r="F319" t="s">
        <v>28</v>
      </c>
      <c r="G319" s="2" t="s">
        <v>29</v>
      </c>
      <c r="H319" s="2"/>
      <c r="I319" s="2" t="s">
        <v>17</v>
      </c>
      <c r="J319" s="2" t="s">
        <v>45</v>
      </c>
      <c r="K319" s="2" t="s">
        <v>119</v>
      </c>
      <c r="L319" s="2" t="s">
        <v>345</v>
      </c>
      <c r="M319" s="2" t="s">
        <v>252</v>
      </c>
      <c r="N319" s="2" t="s">
        <v>351</v>
      </c>
      <c r="O319" s="2" t="s">
        <v>308</v>
      </c>
      <c r="P319" s="2" t="s">
        <v>663</v>
      </c>
    </row>
    <row r="320" spans="1:16" ht="38.25">
      <c r="A320" s="5" t="s">
        <v>685</v>
      </c>
      <c r="B320" t="str">
        <f>HYPERLINK("https://www.onsemi.com/PowerSolutions/product.do?id=NCV890201","NCV890201")</f>
        <v>NCV890201</v>
      </c>
      <c r="C320" t="str">
        <f>HYPERLINK("https://www.onsemi.com/pub/Collateral/NCV890201-D.PDF","NCV890201/D (213kB)")</f>
        <v>NCV890201/D (213kB)</v>
      </c>
      <c r="D320" t="s">
        <v>662</v>
      </c>
      <c r="E320" s="2" t="s">
        <v>13</v>
      </c>
      <c r="F320" t="s">
        <v>28</v>
      </c>
      <c r="G320" s="2" t="s">
        <v>29</v>
      </c>
      <c r="H320" s="2"/>
      <c r="I320" s="2" t="s">
        <v>17</v>
      </c>
      <c r="J320" s="2" t="s">
        <v>45</v>
      </c>
      <c r="K320" s="2" t="s">
        <v>119</v>
      </c>
      <c r="L320" s="2" t="s">
        <v>345</v>
      </c>
      <c r="M320" s="2" t="s">
        <v>252</v>
      </c>
      <c r="N320" s="2" t="s">
        <v>351</v>
      </c>
      <c r="O320" s="2" t="s">
        <v>556</v>
      </c>
      <c r="P320" s="2" t="s">
        <v>133</v>
      </c>
    </row>
    <row r="321" spans="1:16" ht="51">
      <c r="A321" s="5" t="s">
        <v>686</v>
      </c>
      <c r="B321" t="str">
        <f>HYPERLINK("https://www.onsemi.com/PowerSolutions/product.do?id=NCV890203","NCV890203")</f>
        <v>NCV890203</v>
      </c>
      <c r="C321" t="str">
        <f>HYPERLINK("https://www.onsemi.com/pub/Collateral/NCV890203-D.PDF","NCV890203/D (220kB)")</f>
        <v>NCV890203/D (220kB)</v>
      </c>
      <c r="D321" t="s">
        <v>664</v>
      </c>
      <c r="E321" s="2" t="s">
        <v>35</v>
      </c>
      <c r="F321" t="s">
        <v>28</v>
      </c>
      <c r="G321" s="2" t="s">
        <v>29</v>
      </c>
      <c r="H321" s="2"/>
      <c r="I321" s="2" t="s">
        <v>17</v>
      </c>
      <c r="J321" s="2" t="s">
        <v>45</v>
      </c>
      <c r="K321" s="2" t="s">
        <v>119</v>
      </c>
      <c r="L321" s="2" t="s">
        <v>101</v>
      </c>
      <c r="M321" s="2" t="s">
        <v>252</v>
      </c>
      <c r="N321" s="2" t="s">
        <v>351</v>
      </c>
      <c r="O321" s="2" t="s">
        <v>305</v>
      </c>
      <c r="P321" s="2" t="s">
        <v>133</v>
      </c>
    </row>
    <row r="322" spans="1:16" ht="51">
      <c r="A322" s="5" t="s">
        <v>686</v>
      </c>
      <c r="B322" t="str">
        <f>HYPERLINK("https://www.onsemi.com/PowerSolutions/product.do?id=NCV890204","NCV890204")</f>
        <v>NCV890204</v>
      </c>
      <c r="C322" t="str">
        <f>HYPERLINK("https://www.onsemi.com/pub/Collateral/NCV890204-D.PDF","NCV890204/D (364kB)")</f>
        <v>NCV890204/D (364kB)</v>
      </c>
      <c r="D322" t="s">
        <v>665</v>
      </c>
      <c r="E322" s="2" t="s">
        <v>35</v>
      </c>
      <c r="F322" t="s">
        <v>28</v>
      </c>
      <c r="G322" s="2" t="s">
        <v>29</v>
      </c>
      <c r="H322" s="2"/>
      <c r="I322" s="2" t="s">
        <v>17</v>
      </c>
      <c r="J322" s="2" t="s">
        <v>45</v>
      </c>
      <c r="K322" s="2" t="s">
        <v>119</v>
      </c>
      <c r="L322" s="2" t="s">
        <v>101</v>
      </c>
      <c r="M322" s="2" t="s">
        <v>252</v>
      </c>
      <c r="N322" s="2" t="s">
        <v>351</v>
      </c>
      <c r="O322" s="2" t="s">
        <v>305</v>
      </c>
      <c r="P322" s="2" t="s">
        <v>659</v>
      </c>
    </row>
    <row r="323" spans="1:16" ht="38.25">
      <c r="A323" s="5" t="s">
        <v>686</v>
      </c>
      <c r="B323" t="str">
        <f>HYPERLINK("https://www.onsemi.com/PowerSolutions/product.do?id=NCV890230","NCV890230")</f>
        <v>NCV890230</v>
      </c>
      <c r="C323" t="str">
        <f>HYPERLINK("https://www.onsemi.com/pub/Collateral/NCV890230-D.PDF","NCV890230/D (201kB)")</f>
        <v>NCV890230/D (201kB)</v>
      </c>
      <c r="D323" t="s">
        <v>666</v>
      </c>
      <c r="E323" s="2" t="s">
        <v>13</v>
      </c>
      <c r="F323" t="s">
        <v>28</v>
      </c>
      <c r="G323" s="2" t="s">
        <v>29</v>
      </c>
      <c r="H323" s="2"/>
      <c r="I323" s="2" t="s">
        <v>17</v>
      </c>
      <c r="J323" s="2" t="s">
        <v>45</v>
      </c>
      <c r="K323" s="2" t="s">
        <v>292</v>
      </c>
      <c r="L323" s="2" t="s">
        <v>345</v>
      </c>
      <c r="M323" s="2" t="s">
        <v>252</v>
      </c>
      <c r="N323" s="2" t="s">
        <v>351</v>
      </c>
      <c r="O323" s="2" t="s">
        <v>556</v>
      </c>
      <c r="P323" s="2" t="s">
        <v>663</v>
      </c>
    </row>
    <row r="324" spans="1:16" ht="38.25">
      <c r="A324" s="5" t="s">
        <v>686</v>
      </c>
      <c r="B324" t="str">
        <f>HYPERLINK("https://www.onsemi.com/PowerSolutions/product.do?id=NCV890231","NCV890231")</f>
        <v>NCV890231</v>
      </c>
      <c r="C324" t="str">
        <f>HYPERLINK("https://www.onsemi.com/pub/Collateral/NCV890231-D.PDF","NCV890231/D (214kB)")</f>
        <v>NCV890231/D (214kB)</v>
      </c>
      <c r="D324" t="s">
        <v>662</v>
      </c>
      <c r="E324" s="2" t="s">
        <v>13</v>
      </c>
      <c r="F324" t="s">
        <v>28</v>
      </c>
      <c r="G324" s="2" t="s">
        <v>29</v>
      </c>
      <c r="H324" s="2"/>
      <c r="I324" s="2" t="s">
        <v>17</v>
      </c>
      <c r="J324" s="2" t="s">
        <v>45</v>
      </c>
      <c r="K324" s="2" t="s">
        <v>292</v>
      </c>
      <c r="L324" s="2" t="s">
        <v>345</v>
      </c>
      <c r="M324" s="2" t="s">
        <v>252</v>
      </c>
      <c r="N324" s="2" t="s">
        <v>351</v>
      </c>
      <c r="O324" s="2" t="s">
        <v>308</v>
      </c>
      <c r="P324" s="2" t="s">
        <v>133</v>
      </c>
    </row>
    <row r="325" spans="1:16" ht="51">
      <c r="A325" s="5" t="s">
        <v>685</v>
      </c>
      <c r="B325" t="str">
        <f>HYPERLINK("https://www.onsemi.com/PowerSolutions/product.do?id=NCV890430","NCV890430")</f>
        <v>NCV890430</v>
      </c>
      <c r="C325" t="str">
        <f>HYPERLINK("https://www.onsemi.com/pub/Collateral/NCV890430-D.PDF","NCV890430/D (658kB)")</f>
        <v>NCV890430/D (658kB)</v>
      </c>
      <c r="D325" t="s">
        <v>667</v>
      </c>
      <c r="E325" s="2" t="s">
        <v>35</v>
      </c>
      <c r="F325" t="s">
        <v>28</v>
      </c>
      <c r="G325" s="2" t="s">
        <v>29</v>
      </c>
      <c r="H325" s="2"/>
      <c r="I325" s="2" t="s">
        <v>17</v>
      </c>
      <c r="J325" s="2" t="s">
        <v>668</v>
      </c>
      <c r="K325" s="2" t="s">
        <v>292</v>
      </c>
      <c r="L325" s="2" t="s">
        <v>669</v>
      </c>
      <c r="M325" s="2" t="s">
        <v>219</v>
      </c>
      <c r="N325" s="2" t="s">
        <v>670</v>
      </c>
      <c r="O325" s="2" t="s">
        <v>305</v>
      </c>
      <c r="P325" s="2" t="s">
        <v>671</v>
      </c>
    </row>
    <row r="326" spans="1:16" ht="51">
      <c r="A326" s="5" t="s">
        <v>685</v>
      </c>
      <c r="B326" t="str">
        <f>HYPERLINK("https://www.onsemi.com/PowerSolutions/product.do?id=NCV891130","NCV891130")</f>
        <v>NCV891130</v>
      </c>
      <c r="C326" t="str">
        <f>HYPERLINK("https://www.onsemi.com/pub/Collateral/NCV891130-D.PDF","NCV891130/D (515kB)")</f>
        <v>NCV891130/D (515kB)</v>
      </c>
      <c r="D326" t="s">
        <v>672</v>
      </c>
      <c r="E326" s="2" t="s">
        <v>35</v>
      </c>
      <c r="F326" t="s">
        <v>28</v>
      </c>
      <c r="G326" s="2" t="s">
        <v>29</v>
      </c>
      <c r="H326" s="2"/>
      <c r="I326" s="2" t="s">
        <v>17</v>
      </c>
      <c r="J326" s="2" t="s">
        <v>673</v>
      </c>
      <c r="K326" s="2" t="s">
        <v>292</v>
      </c>
      <c r="L326" s="2" t="s">
        <v>674</v>
      </c>
      <c r="M326" s="2" t="s">
        <v>34</v>
      </c>
      <c r="N326" s="2" t="s">
        <v>434</v>
      </c>
      <c r="O326" s="2" t="s">
        <v>305</v>
      </c>
      <c r="P326" s="2" t="s">
        <v>663</v>
      </c>
    </row>
    <row r="327" spans="1:16" ht="51">
      <c r="A327" s="5" t="s">
        <v>685</v>
      </c>
      <c r="B327" t="str">
        <f>HYPERLINK("https://www.onsemi.com/PowerSolutions/product.do?id=NCV891234","NCV891234")</f>
        <v>NCV891234</v>
      </c>
      <c r="C327" t="str">
        <f>HYPERLINK("https://www.onsemi.com/pub/Collateral/NCV891334-D.PDF","NCV891334/D (138kB)")</f>
        <v>NCV891334/D (138kB)</v>
      </c>
      <c r="D327" t="s">
        <v>675</v>
      </c>
      <c r="E327" s="2" t="s">
        <v>35</v>
      </c>
      <c r="F327" t="s">
        <v>28</v>
      </c>
      <c r="G327" s="2" t="s">
        <v>29</v>
      </c>
      <c r="H327" s="2"/>
      <c r="I327" s="2" t="s">
        <v>17</v>
      </c>
      <c r="J327" s="2" t="s">
        <v>673</v>
      </c>
      <c r="K327" s="2" t="s">
        <v>292</v>
      </c>
      <c r="L327" s="2" t="s">
        <v>676</v>
      </c>
      <c r="M327" s="2" t="s">
        <v>252</v>
      </c>
      <c r="N327" s="2" t="s">
        <v>434</v>
      </c>
      <c r="O327" s="2" t="s">
        <v>305</v>
      </c>
      <c r="P327" s="2" t="s">
        <v>659</v>
      </c>
    </row>
    <row r="328" spans="1:16" ht="51">
      <c r="A328" s="5" t="s">
        <v>686</v>
      </c>
      <c r="B328" t="str">
        <f>HYPERLINK("https://www.onsemi.com/PowerSolutions/product.do?id=NCV891330","NCV891330")</f>
        <v>NCV891330</v>
      </c>
      <c r="C328" t="str">
        <f>HYPERLINK("https://www.onsemi.com/pub/Collateral/NCV891330-D.PDF","NCV891330/D (472kB)")</f>
        <v>NCV891330/D (472kB)</v>
      </c>
      <c r="D328" t="s">
        <v>677</v>
      </c>
      <c r="E328" s="2" t="s">
        <v>35</v>
      </c>
      <c r="F328" t="s">
        <v>28</v>
      </c>
      <c r="G328" s="2" t="s">
        <v>29</v>
      </c>
      <c r="H328" s="2"/>
      <c r="I328" s="2" t="s">
        <v>17</v>
      </c>
      <c r="J328" s="2" t="s">
        <v>673</v>
      </c>
      <c r="K328" s="2" t="s">
        <v>292</v>
      </c>
      <c r="L328" s="2" t="s">
        <v>678</v>
      </c>
      <c r="M328" s="2" t="s">
        <v>346</v>
      </c>
      <c r="N328" s="2" t="s">
        <v>434</v>
      </c>
      <c r="O328" s="2" t="s">
        <v>305</v>
      </c>
      <c r="P328" s="2" t="s">
        <v>663</v>
      </c>
    </row>
    <row r="329" spans="1:16" ht="51">
      <c r="A329" s="5" t="s">
        <v>685</v>
      </c>
      <c r="B329" t="str">
        <f>HYPERLINK("https://www.onsemi.com/PowerSolutions/product.do?id=NCV891334","NCV891334")</f>
        <v>NCV891334</v>
      </c>
      <c r="C329" t="str">
        <f>HYPERLINK("https://www.onsemi.com/pub/Collateral/NCV891334-D.PDF","NCV891334/D (138kB)")</f>
        <v>NCV891334/D (138kB)</v>
      </c>
      <c r="D329" t="s">
        <v>675</v>
      </c>
      <c r="E329" s="2" t="s">
        <v>35</v>
      </c>
      <c r="F329" t="s">
        <v>28</v>
      </c>
      <c r="G329" s="2" t="s">
        <v>29</v>
      </c>
      <c r="H329" s="2"/>
      <c r="I329" s="2" t="s">
        <v>17</v>
      </c>
      <c r="J329" s="2" t="s">
        <v>673</v>
      </c>
      <c r="K329" s="2" t="s">
        <v>292</v>
      </c>
      <c r="L329" s="2" t="s">
        <v>676</v>
      </c>
      <c r="M329" s="2" t="s">
        <v>346</v>
      </c>
      <c r="N329" s="2" t="s">
        <v>434</v>
      </c>
      <c r="O329" s="2" t="s">
        <v>305</v>
      </c>
      <c r="P329" s="2" t="s">
        <v>659</v>
      </c>
    </row>
    <row r="330" spans="1:16" ht="38.25">
      <c r="A330" s="5" t="s">
        <v>685</v>
      </c>
      <c r="B330" t="str">
        <f>HYPERLINK("https://www.onsemi.com/PowerSolutions/product.do?id=NCV896530","NCV896530")</f>
        <v>NCV896530</v>
      </c>
      <c r="C330" t="str">
        <f>HYPERLINK("https://www.onsemi.com/pub/Collateral/NCV896530-D.PDF","NCV896530/D (145kB)")</f>
        <v>NCV896530/D (145kB)</v>
      </c>
      <c r="D330" t="s">
        <v>679</v>
      </c>
      <c r="E330" s="2" t="s">
        <v>13</v>
      </c>
      <c r="F330" t="s">
        <v>28</v>
      </c>
      <c r="G330" s="2" t="s">
        <v>29</v>
      </c>
      <c r="H330" s="2"/>
      <c r="I330" s="2" t="s">
        <v>17</v>
      </c>
      <c r="J330" s="2" t="s">
        <v>359</v>
      </c>
      <c r="K330" s="2" t="s">
        <v>223</v>
      </c>
      <c r="L330" s="2" t="s">
        <v>345</v>
      </c>
      <c r="M330" s="2" t="s">
        <v>519</v>
      </c>
      <c r="N330" s="2" t="s">
        <v>434</v>
      </c>
      <c r="O330" s="2" t="s">
        <v>656</v>
      </c>
      <c r="P330" s="2" t="s">
        <v>133</v>
      </c>
    </row>
    <row r="331" spans="1:16" ht="51">
      <c r="A331" s="5" t="s">
        <v>685</v>
      </c>
      <c r="B331" t="str">
        <f>HYPERLINK("https://www.onsemi.com/PowerSolutions/product.do?id=NCV97310","NCV97310")</f>
        <v>NCV97310</v>
      </c>
      <c r="C331" t="str">
        <f>HYPERLINK("https://www.onsemi.com/pub/Collateral/NCV97310-D.PDF","NCV97310/D (226kB)")</f>
        <v>NCV97310/D (226kB)</v>
      </c>
      <c r="D331" t="s">
        <v>680</v>
      </c>
      <c r="E331" s="2" t="s">
        <v>35</v>
      </c>
      <c r="F331" t="s">
        <v>28</v>
      </c>
      <c r="G331" s="2" t="s">
        <v>29</v>
      </c>
      <c r="H331" s="2"/>
      <c r="I331" s="2" t="s">
        <v>17</v>
      </c>
      <c r="J331" s="2" t="s">
        <v>498</v>
      </c>
      <c r="K331" s="2" t="s">
        <v>292</v>
      </c>
      <c r="L331" s="2" t="s">
        <v>681</v>
      </c>
      <c r="M331" s="2" t="s">
        <v>346</v>
      </c>
      <c r="N331" s="2" t="s">
        <v>434</v>
      </c>
      <c r="O331" s="2" t="s">
        <v>305</v>
      </c>
      <c r="P331" s="2" t="s">
        <v>32</v>
      </c>
    </row>
    <row r="332" spans="1:16" ht="51">
      <c r="A332" s="5" t="s">
        <v>685</v>
      </c>
      <c r="B332" t="str">
        <f>HYPERLINK("https://www.onsemi.com/PowerSolutions/product.do?id=NCV97310A","NCV97310A")</f>
        <v>NCV97310A</v>
      </c>
      <c r="C332" t="str">
        <f>HYPERLINK("https://www.onsemi.com/pub/Collateral/NCV97310A-D.PDF","NCV97310A/D (229kB)")</f>
        <v>NCV97310A/D (229kB)</v>
      </c>
      <c r="D332" t="s">
        <v>680</v>
      </c>
      <c r="E332" s="2" t="s">
        <v>35</v>
      </c>
      <c r="F332" t="s">
        <v>28</v>
      </c>
      <c r="G332" t="s">
        <v>23</v>
      </c>
      <c r="I332" t="s">
        <v>23</v>
      </c>
      <c r="J332" t="s">
        <v>23</v>
      </c>
      <c r="K332" t="s">
        <v>23</v>
      </c>
      <c r="L332" t="s">
        <v>23</v>
      </c>
      <c r="M332" t="s">
        <v>23</v>
      </c>
      <c r="N332" t="s">
        <v>23</v>
      </c>
      <c r="O332" t="s">
        <v>23</v>
      </c>
      <c r="P332" s="2" t="s">
        <v>335</v>
      </c>
    </row>
    <row r="333" spans="1:16" ht="51">
      <c r="A333" s="5" t="s">
        <v>685</v>
      </c>
      <c r="B333" t="str">
        <f>HYPERLINK("https://www.onsemi.com/PowerSolutions/product.do?id=NCV97311","NCV97311")</f>
        <v>NCV97311</v>
      </c>
      <c r="C333" t="str">
        <f>HYPERLINK("https://www.onsemi.com/pub/Collateral/NCV97311-D.PDF","NCV97311/D (246kB)")</f>
        <v>NCV97311/D (246kB)</v>
      </c>
      <c r="D333" t="s">
        <v>334</v>
      </c>
      <c r="E333" s="2" t="s">
        <v>35</v>
      </c>
      <c r="F333" t="s">
        <v>28</v>
      </c>
      <c r="G333" s="2" t="s">
        <v>29</v>
      </c>
      <c r="H333" s="2"/>
      <c r="I333" s="2" t="s">
        <v>17</v>
      </c>
      <c r="J333" s="2" t="s">
        <v>498</v>
      </c>
      <c r="K333" s="2" t="s">
        <v>292</v>
      </c>
      <c r="L333" s="2" t="s">
        <v>681</v>
      </c>
      <c r="M333" s="2" t="s">
        <v>346</v>
      </c>
      <c r="N333" s="2" t="s">
        <v>434</v>
      </c>
      <c r="O333" s="2" t="s">
        <v>305</v>
      </c>
      <c r="P333" s="2" t="s">
        <v>32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Controllers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杨慧恒</dc:creator>
  <cp:lastModifiedBy>zlgmcu1</cp:lastModifiedBy>
  <dcterms:created xsi:type="dcterms:W3CDTF">2020-08-20T07:02:38Z</dcterms:created>
  <dcterms:modified xsi:type="dcterms:W3CDTF">2020-08-20T07:02:38Z</dcterms:modified>
</cp:coreProperties>
</file>